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Assumptions" sheetId="2" state="visible" r:id="rId4"/>
    <sheet name="E2 Commitments" sheetId="3" state="visible" r:id="rId5"/>
    <sheet name="E3 Revenue" sheetId="4" state="visible" r:id="rId6"/>
    <sheet name="E4 Balance" sheetId="5" state="visible" r:id="rId7"/>
    <sheet name="E5 Health Trust" sheetId="6" state="visible" r:id="rId8"/>
    <sheet name="E6 Capital" sheetId="7" state="visible" r:id="rId9"/>
    <sheet name="E7 Households" sheetId="8" state="visible" r:id="rId10"/>
    <sheet name="E8 Debt" sheetId="9" state="visible" r:id="rId11"/>
    <sheet name="E9 VAT" sheetId="10" state="visible" r:id="rId1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<sst xmlns="http://schemas.openxmlformats.org/spreadsheetml/2006/main" count="260" uniqueCount="221">
  <si>
    <t xml:space="preserve">A Government That Works for the People — Fiscal Model (V27 web workbook)</t>
  </si>
  <si>
    <t xml:space="preserve">Reproduces every table in Appendix E with live formulas. Where this workbook and the book text differ, the book says the workbook governs.</t>
  </si>
  <si>
    <t xml:space="preserve">HOW TO USE</t>
  </si>
  <si>
    <t xml:space="preserve">• Blue cells are inputs. Yellow cells are the key levers (case selector, interest rate, growth, repair gap). Black cells are formulas; green cells link to another sheet.</t>
  </si>
  <si>
    <t xml:space="preserve">• Assumptions!B4 selects the estimate set used in the "Selected" columns: 1 = low, 2 = central, 3 = high.</t>
  </si>
  <si>
    <t xml:space="preserve">• Change any input and every table recalculates. Nothing here is an official CBO/JCT/CMS score; all figures are author planning estimates in billions of 2026 dollars unless labeled.</t>
  </si>
  <si>
    <t xml:space="preserve">SHEETS</t>
  </si>
  <si>
    <t xml:space="preserve">Assumptions — Appendix E.11 registry and scenario levers</t>
  </si>
  <si>
    <t xml:space="preserve">E2 Commitments — the commitment bridge (15 rows)</t>
  </si>
  <si>
    <t xml:space="preserve">E3 Revenue — revenue and savings by certainty class (8 rows)</t>
  </si>
  <si>
    <t xml:space="preserve">E4 Balance — package balance, conventional-only balance, and the independent-rows uncertainty band</t>
  </si>
  <si>
    <t xml:space="preserve">E5 Health Trust — the transition ledger for the low, central, and high cases</t>
  </si>
  <si>
    <t xml:space="preserve">E6 Capital — capital-budget worked example (cash vs operating view)</t>
  </si>
  <si>
    <t xml:space="preserve">E7 Households — the five hypothetical families plus one custom family</t>
  </si>
  <si>
    <t xml:space="preserve">E8 Debt — CBO baseline vs illustrative repair path (reproduces the book exactly at default inputs)</t>
  </si>
  <si>
    <t xml:space="preserve">E9 VAT — illustrative value-added tax with per-person rebate</t>
  </si>
  <si>
    <t xml:space="preserve">Source: Alexander Hendrix, A Government That Works for the People (Hendrix Publishing, 2026), Appendix E. Companion site: https://govthatworks.org/fiscal</t>
  </si>
  <si>
    <t xml:space="preserve">Assumption registry and levers (Appendix E.11)</t>
  </si>
  <si>
    <t xml:space="preserve">Parameter</t>
  </si>
  <si>
    <t xml:space="preserve">Value</t>
  </si>
  <si>
    <t xml:space="preserve">Source or basis</t>
  </si>
  <si>
    <t xml:space="preserve">Estimate set for "Selected" columns (1 low, 2 central, 3 high)</t>
  </si>
  <si>
    <t xml:space="preserve">Scenario lever</t>
  </si>
  <si>
    <t xml:space="preserve">Nominal GDP, 2026 ($B)</t>
  </si>
  <si>
    <t xml:space="preserve">BEA second estimate, Q2 2026, $32,486.1B SAAR (Aug. 26, 2026), rounded</t>
  </si>
  <si>
    <t xml:space="preserve">Wages and salaries, 2026 ($B)</t>
  </si>
  <si>
    <t xml:space="preserve">BEA, $13,433.0B SAAR, July 2026, rounded</t>
  </si>
  <si>
    <t xml:space="preserve">NHE share: households</t>
  </si>
  <si>
    <t xml:space="preserve">CMS NHE Fact Sheet, 2024</t>
  </si>
  <si>
    <t xml:space="preserve">NHE share: private business</t>
  </si>
  <si>
    <t xml:space="preserve">NHE share: state and local</t>
  </si>
  <si>
    <t xml:space="preserve">State maintenance of effort</t>
  </si>
  <si>
    <t xml:space="preserve">Author design parameter</t>
  </si>
  <si>
    <t xml:space="preserve">Employer contribution (share of displaced premiums)</t>
  </si>
  <si>
    <t xml:space="preserve">Marginal tax on wage pass-through</t>
  </si>
  <si>
    <t xml:space="preserve">Author assumption</t>
  </si>
  <si>
    <t xml:space="preserve">Household contribution rate above exemption</t>
  </si>
  <si>
    <t xml:space="preserve">Illustrative only (E.7)</t>
  </si>
  <si>
    <t xml:space="preserve">Employer contribution rate on wages (E.7 worked examples)</t>
  </si>
  <si>
    <t xml:space="preserve">Appendix E.7</t>
  </si>
  <si>
    <t xml:space="preserve">Family premium, total ($)</t>
  </si>
  <si>
    <t xml:space="preserve">KFF Employer Health Benefits Survey 2025</t>
  </si>
  <si>
    <t xml:space="preserve">Family premium, worker share ($)</t>
  </si>
  <si>
    <t xml:space="preserve">KFF 2025</t>
  </si>
  <si>
    <t xml:space="preserve">Family out-of-pocket ($)</t>
  </si>
  <si>
    <t xml:space="preserve">Poverty guideline, family of four ($)</t>
  </si>
  <si>
    <t xml:space="preserve">HHS 2025</t>
  </si>
  <si>
    <t xml:space="preserve">Capital asset life (years)</t>
  </si>
  <si>
    <t xml:space="preserve">Capital borrowing rate</t>
  </si>
  <si>
    <t xml:space="preserve">Effective interest rate on federal debt</t>
  </si>
  <si>
    <t xml:space="preserve">Nominal GDP growth</t>
  </si>
  <si>
    <t xml:space="preserve">Primary-balance repair at full phase-in (% of GDP)</t>
  </si>
  <si>
    <t xml:space="preserve">Book target 2.0–2.5%</t>
  </si>
  <si>
    <t xml:space="preserve">Years to phase in the repair</t>
  </si>
  <si>
    <t xml:space="preserve">Appendix E.8 (0.45 points a year)</t>
  </si>
  <si>
    <t xml:space="preserve">Share of CBO tariff revenue not realized</t>
  </si>
  <si>
    <t xml:space="preserve">Book tests 1/3 to 2/3; CBO assumed ≈$300B/yr</t>
  </si>
  <si>
    <t xml:space="preserve">CBO assumed tariff revenue ($B a year)</t>
  </si>
  <si>
    <t xml:space="preserve">CBO Feb. 2026 baseline comparison</t>
  </si>
  <si>
    <t xml:space="preserve">VAT yield per point (% of GDP)</t>
  </si>
  <si>
    <t xml:space="preserve">Author reading of CBO budget option</t>
  </si>
  <si>
    <t xml:space="preserve">VAT rebate allowance per person ($)</t>
  </si>
  <si>
    <t xml:space="preserve">Population (millions)</t>
  </si>
  <si>
    <t xml:space="preserve">Census Bureau, Vintage 2024</t>
  </si>
  <si>
    <t xml:space="preserve">VAT rate</t>
  </si>
  <si>
    <t xml:space="preserve">Illustrative</t>
  </si>
  <si>
    <t xml:space="preserve">E.2 The commitment bridge ($B a year, full implementation)</t>
  </si>
  <si>
    <t xml:space="preserve">#</t>
  </si>
  <si>
    <t xml:space="preserve">Commitment</t>
  </si>
  <si>
    <t xml:space="preserve">Ch.</t>
  </si>
  <si>
    <t xml:space="preserve">Low</t>
  </si>
  <si>
    <t xml:space="preserve">Central</t>
  </si>
  <si>
    <t xml:space="preserve">High</t>
  </si>
  <si>
    <t xml:space="preserve">Selected</t>
  </si>
  <si>
    <t xml:space="preserve">Basis</t>
  </si>
  <si>
    <t xml:space="preserve">Child allowance</t>
  </si>
  <si>
    <t xml:space="preserve">19</t>
  </si>
  <si>
    <t xml:space="preserve">Cost of 2021 expansion</t>
  </si>
  <si>
    <t xml:space="preserve">Work and Security Credit (increment over EITC)</t>
  </si>
  <si>
    <t xml:space="preserve">Scaled from EITC</t>
  </si>
  <si>
    <t xml:space="preserve">Child care and universal pre-K</t>
  </si>
  <si>
    <t xml:space="preserve">23, 24</t>
  </si>
  <si>
    <t xml:space="preserve">Published proposals</t>
  </si>
  <si>
    <t xml:space="preserve">Rental assistance, extremely low-income renters</t>
  </si>
  <si>
    <t xml:space="preserve">16</t>
  </si>
  <si>
    <t xml:space="preserve">Urban Institute (2023), narrowed</t>
  </si>
  <si>
    <t xml:space="preserve">Housing Production Grants</t>
  </si>
  <si>
    <t xml:space="preserve">Scale of competitive infrastructure grants</t>
  </si>
  <si>
    <t xml:space="preserve">Tuition-free first credential and student aid</t>
  </si>
  <si>
    <t xml:space="preserve">23</t>
  </si>
  <si>
    <t xml:space="preserve">Federal K-12 adequacy floor</t>
  </si>
  <si>
    <t xml:space="preserve">Roughly double current Title I</t>
  </si>
  <si>
    <t xml:space="preserve">American Opportunity Accounts</t>
  </si>
  <si>
    <t xml:space="preserve">20</t>
  </si>
  <si>
    <t xml:space="preserve">Published estimates of similar bills</t>
  </si>
  <si>
    <t xml:space="preserve">Wage insurance and UI modernization</t>
  </si>
  <si>
    <t xml:space="preserve">18</t>
  </si>
  <si>
    <t xml:space="preserve">Author estimate</t>
  </si>
  <si>
    <t xml:space="preserve">Food, farms, and rural America (net)</t>
  </si>
  <si>
    <t xml:space="preserve">21</t>
  </si>
  <si>
    <t xml:space="preserve">Component sum, Chapter 21</t>
  </si>
  <si>
    <t xml:space="preserve">Implementation capacity and administration</t>
  </si>
  <si>
    <t xml:space="preserve">28</t>
  </si>
  <si>
    <t xml:space="preserve">Tribal treaty and trust obligations</t>
  </si>
  <si>
    <t xml:space="preserve">29</t>
  </si>
  <si>
    <t xml:space="preserve">Parity path, Chapter 29</t>
  </si>
  <si>
    <t xml:space="preserve">Congress, digital government, justice, immigration courts, emergency register</t>
  </si>
  <si>
    <t xml:space="preserve">8, 13, 25, 27, 30</t>
  </si>
  <si>
    <t xml:space="preserve">Infrastructure, energy, and water capital plan (cash)</t>
  </si>
  <si>
    <t xml:space="preserve">31</t>
  </si>
  <si>
    <t xml:space="preserve">Fixed program size</t>
  </si>
  <si>
    <t xml:space="preserve">Social housing credit subsidy</t>
  </si>
  <si>
    <t xml:space="preserve">5–15% subsidy on $10B lending</t>
  </si>
  <si>
    <t xml:space="preserve">Subtotal, general-fund operating (rows 1–13)</t>
  </si>
  <si>
    <t xml:space="preserve">Subtotal, capital and credit (rows 14–15)</t>
  </si>
  <si>
    <t xml:space="preserve">Total new general-fund commitments</t>
  </si>
  <si>
    <t xml:space="preserve">Share of 2026 GDP</t>
  </si>
  <si>
    <t xml:space="preserve">E.3 Revenue and savings by certainty class ($B a year)</t>
  </si>
  <si>
    <t xml:space="preserve">Measure</t>
  </si>
  <si>
    <t xml:space="preserve">Class</t>
  </si>
  <si>
    <t xml:space="preserve">Capital gains &amp; dividends taxed like labor income above a high threshold; higher top rates</t>
  </si>
  <si>
    <t xml:space="preserve">conventional</t>
  </si>
  <si>
    <t xml:space="preserve">Corporate minimum tax and limits on profit shifting</t>
  </si>
  <si>
    <t xml:space="preserve">Tax unrealized gains at death; strengthen estate tax</t>
  </si>
  <si>
    <t xml:space="preserve">Tax-expenditure reform</t>
  </si>
  <si>
    <t xml:space="preserve">Pollution fee (general-fund share)</t>
  </si>
  <si>
    <t xml:space="preserve">Tax administration and enforcement</t>
  </si>
  <si>
    <t xml:space="preserve">administrative</t>
  </si>
  <si>
    <t xml:space="preserve">Defense procurement and management reform</t>
  </si>
  <si>
    <t xml:space="preserve">contingent</t>
  </si>
  <si>
    <t xml:space="preserve">Macroeconomic feedback from public investment</t>
  </si>
  <si>
    <t xml:space="preserve">notcounted</t>
  </si>
  <si>
    <t xml:space="preserve">Subtotal, conventional (rows 1–5)</t>
  </si>
  <si>
    <t xml:space="preserve">Total counted</t>
  </si>
  <si>
    <t xml:space="preserve">E.4 Package balance and its uncertainty ($B a year; positive reduces the deficit)</t>
  </si>
  <si>
    <t xml:space="preserve">Line</t>
  </si>
  <si>
    <t xml:space="preserve">Total new commitments</t>
  </si>
  <si>
    <t xml:space="preserve">Total revenue and savings</t>
  </si>
  <si>
    <t xml:space="preserve">Balance, all revenue</t>
  </si>
  <si>
    <t xml:space="preserve">Balance, conventional revenue only</t>
  </si>
  <si>
    <t xml:space="preserve">Balance as share of GDP, all revenue</t>
  </si>
  <si>
    <t xml:space="preserve">Balance as share of GDP, conventional only</t>
  </si>
  <si>
    <t xml:space="preserve">Independent-rows uncertainty (half-range = 1 SD)</t>
  </si>
  <si>
    <t xml:space="preserve">SD of total cost</t>
  </si>
  <si>
    <t xml:space="preserve">SD of total revenue</t>
  </si>
  <si>
    <t xml:space="preserve">SD of the balance</t>
  </si>
  <si>
    <t xml:space="preserve">Central balance, low end of ±1 SD band</t>
  </si>
  <si>
    <t xml:space="preserve">Central balance, high end of ±1 SD band</t>
  </si>
  <si>
    <t xml:space="preserve">Extreme pairing: high cost, low revenue</t>
  </si>
  <si>
    <t xml:space="preserve">Extreme pairing: low cost, high revenue</t>
  </si>
  <si>
    <t xml:space="preserve">The book: "neutral if the administrative and contingent items deliver, modestly negative if they do not." The band understates risk because top-income revenue rows move together.</t>
  </si>
  <si>
    <t xml:space="preserve">E.5 Health Trust transition ledger ($B a year, full implementation)</t>
  </si>
  <si>
    <t xml:space="preserve">Gross federal spending increase (G)</t>
  </si>
  <si>
    <t xml:space="preserve">G as share of 2026 GDP</t>
  </si>
  <si>
    <t xml:space="preserve">Change in national health spending (negative = savings)</t>
  </si>
  <si>
    <t xml:space="preserve">Displaced nonfederal spending (G minus the change)</t>
  </si>
  <si>
    <t xml:space="preserve">  of which households: premiums and out-of-pocket</t>
  </si>
  <si>
    <t xml:space="preserve">  of which private employers: premiums</t>
  </si>
  <si>
    <t xml:space="preserve">  of which state and local governments</t>
  </si>
  <si>
    <t xml:space="preserve">Financing: state maintenance-of-effort transfer</t>
  </si>
  <si>
    <t xml:space="preserve">Financing: employer health contribution</t>
  </si>
  <si>
    <t xml:space="preserve">Employer contribution as share of wages and salaries</t>
  </si>
  <si>
    <t xml:space="preserve">Employer savings passed through to wages</t>
  </si>
  <si>
    <t xml:space="preserve">Financing: income and payroll tax on the pass-through</t>
  </si>
  <si>
    <t xml:space="preserve">Financing: household income-based contribution</t>
  </si>
  <si>
    <t xml:space="preserve">Aggregate household net change (+ = households pay less)</t>
  </si>
  <si>
    <t xml:space="preserve">Aggregate state and local net change</t>
  </si>
  <si>
    <t xml:space="preserve">Built on CBO (Dec. 10, 2020) range for five illustrative single-payer designs, applied at 2026 scale. Blue cells in rows 4 and 6 can be changed.</t>
  </si>
  <si>
    <t xml:space="preserve">E.6 Capital budget worked example ($B)</t>
  </si>
  <si>
    <t xml:space="preserve">Year</t>
  </si>
  <si>
    <t xml:space="preserve">Investment</t>
  </si>
  <si>
    <t xml:space="preserve">Depreciation</t>
  </si>
  <si>
    <t xml:space="preserve">Interest</t>
  </si>
  <si>
    <t xml:space="preserve">Operating charge</t>
  </si>
  <si>
    <t xml:space="preserve">Cash deficit effect</t>
  </si>
  <si>
    <t xml:space="preserve">Capital debt, end of year</t>
  </si>
  <si>
    <t xml:space="preserve">E.7 Hypothetical household examples (single-earner family of four, employer family coverage)</t>
  </si>
  <si>
    <t xml:space="preserve">Family A</t>
  </si>
  <si>
    <t xml:space="preserve">Family B</t>
  </si>
  <si>
    <t xml:space="preserve">Family C</t>
  </si>
  <si>
    <t xml:space="preserve">Family D</t>
  </si>
  <si>
    <t xml:space="preserve">Family E</t>
  </si>
  <si>
    <t xml:space="preserve">Custom</t>
  </si>
  <si>
    <t xml:space="preserve">Wage income</t>
  </si>
  <si>
    <t xml:space="preserve">Current: employer premium share</t>
  </si>
  <si>
    <t xml:space="preserve">Current: worker premium</t>
  </si>
  <si>
    <t xml:space="preserve">Current: out-of-pocket</t>
  </si>
  <si>
    <t xml:space="preserve">Current total</t>
  </si>
  <si>
    <t xml:space="preserve">New: employer contribution</t>
  </si>
  <si>
    <t xml:space="preserve">New: household contribution</t>
  </si>
  <si>
    <t xml:space="preserve">New total</t>
  </si>
  <si>
    <t xml:space="preserve">Change (negative = family pays less)</t>
  </si>
  <si>
    <t xml:space="preserve">Change as share of wages</t>
  </si>
  <si>
    <t xml:space="preserve">Employer premiums are counted as the family's money because they are borne mainly through lower wages over time. Enter any wage in the yellow Custom cell.</t>
  </si>
  <si>
    <t xml:space="preserve">E.8 Baseline repair: debt held by the public (% of GDP)</t>
  </si>
  <si>
    <t xml:space="preserve">CBO baseline</t>
  </si>
  <si>
    <t xml:space="preserve">Primary improvement</t>
  </si>
  <si>
    <t xml:space="preserve">Accumulated gap (pts)</t>
  </si>
  <si>
    <t xml:space="preserve">Illustrative reform path</t>
  </si>
  <si>
    <t xml:space="preserve">Interest saving (% GDP)</t>
  </si>
  <si>
    <t xml:space="preserve">2026</t>
  </si>
  <si>
    <t xml:space="preserve">2027</t>
  </si>
  <si>
    <t xml:space="preserve">2028</t>
  </si>
  <si>
    <t xml:space="preserve">2029</t>
  </si>
  <si>
    <t xml:space="preserve">2030</t>
  </si>
  <si>
    <t xml:space="preserve">2031</t>
  </si>
  <si>
    <t xml:space="preserve">2032</t>
  </si>
  <si>
    <t xml:space="preserve">2033</t>
  </si>
  <si>
    <t xml:space="preserve">2034</t>
  </si>
  <si>
    <t xml:space="preserve">2035</t>
  </si>
  <si>
    <t xml:space="preserve">2036</t>
  </si>
  <si>
    <t xml:space="preserve">At default inputs this reproduces the book's table exactly (102.2% in 2036). Baseline interpolates CBO's 2026 (101%) and 2036 (120%) figures. A tariff shortfall is entered as a reduction in the gap closed.</t>
  </si>
  <si>
    <t xml:space="preserve">E.9 Illustrative value-added tax</t>
  </si>
  <si>
    <t xml:space="preserve">Gross revenue (% of GDP)</t>
  </si>
  <si>
    <t xml:space="preserve">Rebate cost ($B)</t>
  </si>
  <si>
    <t xml:space="preserve">Rebate cost (% of GDP)</t>
  </si>
  <si>
    <t xml:space="preserve">Net revenue (% of GDP)</t>
  </si>
  <si>
    <t xml:space="preserve">Net revenue ($B)</t>
  </si>
  <si>
    <t xml:space="preserve">Rate required to net 2.0% of GDP with this rebate</t>
  </si>
  <si>
    <t xml:space="preserve">Rate required to net 2.25% of GDP with this rebate</t>
  </si>
  <si>
    <t xml:space="preserve">Rate required to net 2.25% of GDP with no rebate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</si>
</sst>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\$#,##0;&quot;($&quot;#,##0\);\-"/>
    <numFmt numFmtId="166" formatCode="0.0%;\(0.0%\);\-"/>
    <numFmt numFmtId="167" formatCode="0.000%"/>
    <numFmt numFmtId="168" formatCode="0"/>
    <numFmt numFmtId="169" formatCode="0.00%;\(0.00%\);\-"/>
    <numFmt numFmtId="170" formatCode="\$#,##0.0;&quot;($&quot;#,##0.0\);\-"/>
    <numFmt numFmtId="171" formatCode="0.0"/>
    <numFmt numFmtId="172" formatCode="0.0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sz val="11"/>
      <color theme="1"/>
      <name val="Arial"/>
      <family val="0"/>
      <charset val="1"/>
    </font>
    <font>
      <sz val="11"/>
      <color rgb="FF0000FF"/>
      <name val="Arial"/>
      <family val="0"/>
      <charset val="1"/>
    </font>
    <font>
      <i val="true"/>
      <sz val="9"/>
      <color rgb="FF555555"/>
      <name val="Arial"/>
      <family val="0"/>
      <charset val="1"/>
    </font>
    <font>
      <sz val="11"/>
      <color rgb="FF008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CE6F0"/>
        <bgColor rgb="FFCCFFFF"/>
      </patternFill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CE6F0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" t="s">
        <v>0</v>
      </c>
    </row>
    <row r="2" customFormat="false" ht="26.8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/>
    </row>
    <row r="4" customFormat="false" ht="15" hidden="false" customHeight="false" outlineLevel="0" collapsed="false">
      <c r="A4" s="3" t="s">
        <v>2</v>
      </c>
    </row>
    <row r="5" customFormat="false" ht="26.8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26.8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/>
    </row>
    <row r="9" customFormat="false" ht="15" hidden="false" customHeight="false" outlineLevel="0" collapsed="false">
      <c r="A9" s="3" t="s">
        <v>6</v>
      </c>
    </row>
    <row r="10" customFormat="false" ht="15" hidden="false" customHeight="false" outlineLevel="0" collapsed="false">
      <c r="A10" s="2" t="s">
        <v>7</v>
      </c>
    </row>
    <row r="11" customFormat="false" ht="15" hidden="false" customHeight="false" outlineLevel="0" collapsed="false">
      <c r="A11" s="2" t="s">
        <v>8</v>
      </c>
    </row>
    <row r="12" customFormat="false" ht="15" hidden="false" customHeight="false" outlineLevel="0" collapsed="false">
      <c r="A12" s="2" t="s">
        <v>9</v>
      </c>
    </row>
    <row r="13" customFormat="false" ht="15" hidden="false" customHeight="false" outlineLevel="0" collapsed="false">
      <c r="A13" s="2" t="s">
        <v>10</v>
      </c>
    </row>
    <row r="14" customFormat="false" ht="15" hidden="false" customHeight="false" outlineLevel="0" collapsed="false">
      <c r="A14" s="2" t="s">
        <v>11</v>
      </c>
    </row>
    <row r="15" customFormat="false" ht="15" hidden="false" customHeight="false" outlineLevel="0" collapsed="false">
      <c r="A15" s="2" t="s">
        <v>12</v>
      </c>
    </row>
    <row r="16" customFormat="false" ht="15" hidden="false" customHeight="false" outlineLevel="0" collapsed="false">
      <c r="A16" s="2" t="s">
        <v>13</v>
      </c>
    </row>
    <row r="17" customFormat="false" ht="15" hidden="false" customHeight="false" outlineLevel="0" collapsed="false">
      <c r="A17" s="2" t="s">
        <v>14</v>
      </c>
    </row>
    <row r="18" customFormat="false" ht="15" hidden="false" customHeight="false" outlineLevel="0" collapsed="false">
      <c r="A18" s="2" t="s">
        <v>15</v>
      </c>
    </row>
    <row r="19" customFormat="false" ht="15" hidden="false" customHeight="false" outlineLevel="0" collapsed="false">
      <c r="A19" s="2"/>
    </row>
    <row r="20" customFormat="false" ht="26.85" hidden="false" customHeight="false" outlineLevel="0" collapsed="false">
      <c r="A20" s="2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16"/>
    <col collapsed="false" customWidth="true" hidden="false" outlineLevel="0" max="3" min="3" style="0" width="70"/>
  </cols>
  <sheetData>
    <row r="1" customFormat="false" ht="17.35" hidden="false" customHeight="false" outlineLevel="0" collapsed="false">
      <c r="A1" s="4" t="s">
        <v>17</v>
      </c>
      <c r="B1" s="5"/>
      <c r="C1" s="5"/>
    </row>
    <row r="2" customFormat="false" ht="15" hidden="false" customHeight="false" outlineLevel="0" collapsed="false">
      <c r="A2" s="5"/>
      <c r="B2" s="5"/>
      <c r="C2" s="5"/>
    </row>
    <row r="3" customFormat="false" ht="15" hidden="false" customHeight="false" outlineLevel="0" collapsed="false">
      <c r="A3" s="6" t="s">
        <v>18</v>
      </c>
      <c r="B3" s="6" t="s">
        <v>19</v>
      </c>
      <c r="C3" s="6" t="s">
        <v>20</v>
      </c>
    </row>
    <row r="4" customFormat="false" ht="15" hidden="false" customHeight="false" outlineLevel="0" collapsed="false">
      <c r="A4" s="7" t="s">
        <v>21</v>
      </c>
      <c r="B4" s="8" t="n">
        <v>2</v>
      </c>
      <c r="C4" s="9" t="s">
        <v>22</v>
      </c>
    </row>
    <row r="5" customFormat="false" ht="15" hidden="false" customHeight="false" outlineLevel="0" collapsed="false">
      <c r="A5" s="7" t="s">
        <v>23</v>
      </c>
      <c r="B5" s="10" t="n">
        <v>32500</v>
      </c>
      <c r="C5" s="9" t="s">
        <v>24</v>
      </c>
    </row>
    <row r="6" customFormat="false" ht="15" hidden="false" customHeight="false" outlineLevel="0" collapsed="false">
      <c r="A6" s="7" t="s">
        <v>25</v>
      </c>
      <c r="B6" s="10" t="n">
        <v>13400</v>
      </c>
      <c r="C6" s="9" t="s">
        <v>26</v>
      </c>
    </row>
    <row r="7" customFormat="false" ht="15" hidden="false" customHeight="false" outlineLevel="0" collapsed="false">
      <c r="A7" s="7" t="s">
        <v>27</v>
      </c>
      <c r="B7" s="11" t="n">
        <v>0.28</v>
      </c>
      <c r="C7" s="9" t="s">
        <v>28</v>
      </c>
    </row>
    <row r="8" customFormat="false" ht="15" hidden="false" customHeight="false" outlineLevel="0" collapsed="false">
      <c r="A8" s="7" t="s">
        <v>29</v>
      </c>
      <c r="B8" s="11" t="n">
        <v>0.18</v>
      </c>
      <c r="C8" s="9" t="s">
        <v>28</v>
      </c>
    </row>
    <row r="9" customFormat="false" ht="15" hidden="false" customHeight="false" outlineLevel="0" collapsed="false">
      <c r="A9" s="7" t="s">
        <v>30</v>
      </c>
      <c r="B9" s="11" t="n">
        <v>0.16</v>
      </c>
      <c r="C9" s="9" t="s">
        <v>28</v>
      </c>
    </row>
    <row r="10" customFormat="false" ht="15" hidden="false" customHeight="false" outlineLevel="0" collapsed="false">
      <c r="A10" s="7" t="s">
        <v>31</v>
      </c>
      <c r="B10" s="11" t="n">
        <v>0.85</v>
      </c>
      <c r="C10" s="9" t="s">
        <v>32</v>
      </c>
    </row>
    <row r="11" customFormat="false" ht="15" hidden="false" customHeight="false" outlineLevel="0" collapsed="false">
      <c r="A11" s="7" t="s">
        <v>33</v>
      </c>
      <c r="B11" s="11" t="n">
        <v>0.85</v>
      </c>
      <c r="C11" s="9" t="s">
        <v>32</v>
      </c>
    </row>
    <row r="12" customFormat="false" ht="15" hidden="false" customHeight="false" outlineLevel="0" collapsed="false">
      <c r="A12" s="7" t="s">
        <v>34</v>
      </c>
      <c r="B12" s="11" t="n">
        <v>0.3</v>
      </c>
      <c r="C12" s="9" t="s">
        <v>35</v>
      </c>
    </row>
    <row r="13" customFormat="false" ht="15" hidden="false" customHeight="false" outlineLevel="0" collapsed="false">
      <c r="A13" s="7" t="s">
        <v>36</v>
      </c>
      <c r="B13" s="11" t="n">
        <v>0.1</v>
      </c>
      <c r="C13" s="9" t="s">
        <v>37</v>
      </c>
    </row>
    <row r="14" customFormat="false" ht="15" hidden="false" customHeight="false" outlineLevel="0" collapsed="false">
      <c r="A14" s="7" t="s">
        <v>38</v>
      </c>
      <c r="B14" s="12" t="n">
        <v>0.04512</v>
      </c>
      <c r="C14" s="9" t="s">
        <v>39</v>
      </c>
    </row>
    <row r="15" customFormat="false" ht="15" hidden="false" customHeight="false" outlineLevel="0" collapsed="false">
      <c r="A15" s="7" t="s">
        <v>40</v>
      </c>
      <c r="B15" s="10" t="n">
        <v>26993</v>
      </c>
      <c r="C15" s="9" t="s">
        <v>41</v>
      </c>
    </row>
    <row r="16" customFormat="false" ht="15" hidden="false" customHeight="false" outlineLevel="0" collapsed="false">
      <c r="A16" s="7" t="s">
        <v>42</v>
      </c>
      <c r="B16" s="10" t="n">
        <v>6850</v>
      </c>
      <c r="C16" s="9" t="s">
        <v>43</v>
      </c>
    </row>
    <row r="17" customFormat="false" ht="15" hidden="false" customHeight="false" outlineLevel="0" collapsed="false">
      <c r="A17" s="7" t="s">
        <v>44</v>
      </c>
      <c r="B17" s="10" t="n">
        <v>3000</v>
      </c>
      <c r="C17" s="9" t="s">
        <v>35</v>
      </c>
    </row>
    <row r="18" customFormat="false" ht="15" hidden="false" customHeight="false" outlineLevel="0" collapsed="false">
      <c r="A18" s="7" t="s">
        <v>45</v>
      </c>
      <c r="B18" s="10" t="n">
        <v>32150</v>
      </c>
      <c r="C18" s="9" t="s">
        <v>46</v>
      </c>
    </row>
    <row r="19" customFormat="false" ht="15" hidden="false" customHeight="false" outlineLevel="0" collapsed="false">
      <c r="A19" s="7" t="s">
        <v>47</v>
      </c>
      <c r="B19" s="13" t="n">
        <v>40</v>
      </c>
      <c r="C19" s="9" t="s">
        <v>35</v>
      </c>
    </row>
    <row r="20" customFormat="false" ht="15" hidden="false" customHeight="false" outlineLevel="0" collapsed="false">
      <c r="A20" s="7" t="s">
        <v>48</v>
      </c>
      <c r="B20" s="11" t="n">
        <v>0.04</v>
      </c>
      <c r="C20" s="9" t="s">
        <v>35</v>
      </c>
    </row>
    <row r="21" customFormat="false" ht="15" hidden="false" customHeight="false" outlineLevel="0" collapsed="false">
      <c r="A21" s="7" t="s">
        <v>49</v>
      </c>
      <c r="B21" s="14" t="n">
        <v>0.036</v>
      </c>
      <c r="C21" s="9" t="s">
        <v>35</v>
      </c>
    </row>
    <row r="22" customFormat="false" ht="15" hidden="false" customHeight="false" outlineLevel="0" collapsed="false">
      <c r="A22" s="7" t="s">
        <v>50</v>
      </c>
      <c r="B22" s="14" t="n">
        <v>0.04</v>
      </c>
      <c r="C22" s="9" t="s">
        <v>35</v>
      </c>
    </row>
    <row r="23" customFormat="false" ht="15" hidden="false" customHeight="false" outlineLevel="0" collapsed="false">
      <c r="A23" s="7" t="s">
        <v>51</v>
      </c>
      <c r="B23" s="15" t="n">
        <v>0.0225</v>
      </c>
      <c r="C23" s="9" t="s">
        <v>52</v>
      </c>
    </row>
    <row r="24" customFormat="false" ht="15" hidden="false" customHeight="false" outlineLevel="0" collapsed="false">
      <c r="A24" s="7" t="s">
        <v>53</v>
      </c>
      <c r="B24" s="16" t="n">
        <v>5</v>
      </c>
      <c r="C24" s="9" t="s">
        <v>54</v>
      </c>
    </row>
    <row r="25" customFormat="false" ht="15" hidden="false" customHeight="false" outlineLevel="0" collapsed="false">
      <c r="A25" s="7" t="s">
        <v>55</v>
      </c>
      <c r="B25" s="11" t="n">
        <v>0</v>
      </c>
      <c r="C25" s="9" t="s">
        <v>56</v>
      </c>
    </row>
    <row r="26" customFormat="false" ht="15" hidden="false" customHeight="false" outlineLevel="0" collapsed="false">
      <c r="A26" s="7" t="s">
        <v>57</v>
      </c>
      <c r="B26" s="10" t="n">
        <v>300</v>
      </c>
      <c r="C26" s="9" t="s">
        <v>58</v>
      </c>
    </row>
    <row r="27" customFormat="false" ht="15" hidden="false" customHeight="false" outlineLevel="0" collapsed="false">
      <c r="A27" s="7" t="s">
        <v>59</v>
      </c>
      <c r="B27" s="17" t="n">
        <v>0.0022</v>
      </c>
      <c r="C27" s="9" t="s">
        <v>60</v>
      </c>
    </row>
    <row r="28" customFormat="false" ht="15" hidden="false" customHeight="false" outlineLevel="0" collapsed="false">
      <c r="A28" s="7" t="s">
        <v>61</v>
      </c>
      <c r="B28" s="10" t="n">
        <v>7000</v>
      </c>
      <c r="C28" s="9" t="s">
        <v>32</v>
      </c>
    </row>
    <row r="29" customFormat="false" ht="15" hidden="false" customHeight="false" outlineLevel="0" collapsed="false">
      <c r="A29" s="7" t="s">
        <v>62</v>
      </c>
      <c r="B29" s="13" t="n">
        <v>340</v>
      </c>
      <c r="C29" s="9" t="s">
        <v>63</v>
      </c>
    </row>
    <row r="30" customFormat="false" ht="15" hidden="false" customHeight="false" outlineLevel="0" collapsed="false">
      <c r="A30" s="7" t="s">
        <v>64</v>
      </c>
      <c r="B30" s="14" t="n">
        <v>0.1</v>
      </c>
      <c r="C30" s="9" t="s">
        <v>65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58"/>
    <col collapsed="false" customWidth="true" hidden="false" outlineLevel="0" max="6" min="3" style="0" width="10"/>
    <col collapsed="false" customWidth="true" hidden="false" outlineLevel="0" max="7" min="7" style="0" width="12"/>
    <col collapsed="false" customWidth="true" hidden="false" outlineLevel="0" max="8" min="8" style="0" width="40"/>
  </cols>
  <sheetData>
    <row r="1" customFormat="false" ht="17.35" hidden="false" customHeight="false" outlineLevel="0" collapsed="false">
      <c r="A1" s="4" t="s">
        <v>66</v>
      </c>
      <c r="B1" s="5"/>
      <c r="C1" s="5"/>
      <c r="D1" s="5"/>
      <c r="E1" s="5"/>
      <c r="F1" s="5"/>
      <c r="G1" s="5"/>
      <c r="H1" s="5"/>
    </row>
    <row r="2" customFormat="false" ht="15" hidden="false" customHeight="false" outlineLevel="0" collapsed="false">
      <c r="A2" s="5"/>
      <c r="B2" s="5"/>
      <c r="C2" s="5"/>
      <c r="D2" s="5"/>
      <c r="E2" s="5"/>
      <c r="F2" s="5"/>
      <c r="G2" s="5"/>
      <c r="H2" s="5"/>
    </row>
    <row r="3" customFormat="false" ht="15" hidden="false" customHeight="false" outlineLevel="0" collapsed="false">
      <c r="A3" s="6" t="s">
        <v>67</v>
      </c>
      <c r="B3" s="6" t="s">
        <v>68</v>
      </c>
      <c r="C3" s="6" t="s">
        <v>69</v>
      </c>
      <c r="D3" s="6" t="s">
        <v>70</v>
      </c>
      <c r="E3" s="6" t="s">
        <v>71</v>
      </c>
      <c r="F3" s="6" t="s">
        <v>72</v>
      </c>
      <c r="G3" s="6" t="s">
        <v>73</v>
      </c>
      <c r="H3" s="6" t="s">
        <v>74</v>
      </c>
    </row>
    <row r="4" customFormat="false" ht="15" hidden="false" customHeight="false" outlineLevel="0" collapsed="false">
      <c r="A4" s="5" t="n">
        <v>1</v>
      </c>
      <c r="B4" s="5" t="s">
        <v>75</v>
      </c>
      <c r="C4" s="5" t="s">
        <v>76</v>
      </c>
      <c r="D4" s="18" t="n">
        <v>100</v>
      </c>
      <c r="E4" s="18" t="n">
        <v>115</v>
      </c>
      <c r="F4" s="18" t="n">
        <v>130</v>
      </c>
      <c r="G4" s="19" t="n">
        <f aca="false">CHOOSE(Assumptions!$B$4,D4,E4,F4)</f>
        <v>115</v>
      </c>
      <c r="H4" s="9" t="s">
        <v>77</v>
      </c>
    </row>
    <row r="5" customFormat="false" ht="15" hidden="false" customHeight="false" outlineLevel="0" collapsed="false">
      <c r="A5" s="5" t="n">
        <v>2</v>
      </c>
      <c r="B5" s="5" t="s">
        <v>78</v>
      </c>
      <c r="C5" s="5" t="s">
        <v>76</v>
      </c>
      <c r="D5" s="18" t="n">
        <v>30</v>
      </c>
      <c r="E5" s="18" t="n">
        <v>45</v>
      </c>
      <c r="F5" s="18" t="n">
        <v>60</v>
      </c>
      <c r="G5" s="19" t="n">
        <f aca="false">CHOOSE(Assumptions!$B$4,D5,E5,F5)</f>
        <v>45</v>
      </c>
      <c r="H5" s="9" t="s">
        <v>79</v>
      </c>
    </row>
    <row r="6" customFormat="false" ht="15" hidden="false" customHeight="false" outlineLevel="0" collapsed="false">
      <c r="A6" s="5" t="n">
        <v>3</v>
      </c>
      <c r="B6" s="5" t="s">
        <v>80</v>
      </c>
      <c r="C6" s="5" t="s">
        <v>81</v>
      </c>
      <c r="D6" s="18" t="n">
        <v>60</v>
      </c>
      <c r="E6" s="18" t="n">
        <v>75</v>
      </c>
      <c r="F6" s="18" t="n">
        <v>90</v>
      </c>
      <c r="G6" s="19" t="n">
        <f aca="false">CHOOSE(Assumptions!$B$4,D6,E6,F6)</f>
        <v>75</v>
      </c>
      <c r="H6" s="9" t="s">
        <v>82</v>
      </c>
    </row>
    <row r="7" customFormat="false" ht="15" hidden="false" customHeight="false" outlineLevel="0" collapsed="false">
      <c r="A7" s="5" t="n">
        <v>4</v>
      </c>
      <c r="B7" s="5" t="s">
        <v>83</v>
      </c>
      <c r="C7" s="5" t="s">
        <v>84</v>
      </c>
      <c r="D7" s="18" t="n">
        <v>50</v>
      </c>
      <c r="E7" s="18" t="n">
        <v>60</v>
      </c>
      <c r="F7" s="18" t="n">
        <v>70</v>
      </c>
      <c r="G7" s="19" t="n">
        <f aca="false">CHOOSE(Assumptions!$B$4,D7,E7,F7)</f>
        <v>60</v>
      </c>
      <c r="H7" s="9" t="s">
        <v>85</v>
      </c>
    </row>
    <row r="8" customFormat="false" ht="15" hidden="false" customHeight="false" outlineLevel="0" collapsed="false">
      <c r="A8" s="5" t="n">
        <v>5</v>
      </c>
      <c r="B8" s="5" t="s">
        <v>86</v>
      </c>
      <c r="C8" s="5" t="s">
        <v>84</v>
      </c>
      <c r="D8" s="18" t="n">
        <v>10</v>
      </c>
      <c r="E8" s="18" t="n">
        <v>15</v>
      </c>
      <c r="F8" s="18" t="n">
        <v>20</v>
      </c>
      <c r="G8" s="19" t="n">
        <f aca="false">CHOOSE(Assumptions!$B$4,D8,E8,F8)</f>
        <v>15</v>
      </c>
      <c r="H8" s="9" t="s">
        <v>87</v>
      </c>
    </row>
    <row r="9" customFormat="false" ht="15" hidden="false" customHeight="false" outlineLevel="0" collapsed="false">
      <c r="A9" s="5" t="n">
        <v>6</v>
      </c>
      <c r="B9" s="5" t="s">
        <v>88</v>
      </c>
      <c r="C9" s="5" t="s">
        <v>89</v>
      </c>
      <c r="D9" s="18" t="n">
        <v>50</v>
      </c>
      <c r="E9" s="18" t="n">
        <v>60</v>
      </c>
      <c r="F9" s="18" t="n">
        <v>70</v>
      </c>
      <c r="G9" s="19" t="n">
        <f aca="false">CHOOSE(Assumptions!$B$4,D9,E9,F9)</f>
        <v>60</v>
      </c>
      <c r="H9" s="9" t="s">
        <v>82</v>
      </c>
    </row>
    <row r="10" customFormat="false" ht="15" hidden="false" customHeight="false" outlineLevel="0" collapsed="false">
      <c r="A10" s="5" t="n">
        <v>7</v>
      </c>
      <c r="B10" s="5" t="s">
        <v>90</v>
      </c>
      <c r="C10" s="5" t="s">
        <v>89</v>
      </c>
      <c r="D10" s="18" t="n">
        <v>20</v>
      </c>
      <c r="E10" s="18" t="n">
        <v>30</v>
      </c>
      <c r="F10" s="18" t="n">
        <v>40</v>
      </c>
      <c r="G10" s="19" t="n">
        <f aca="false">CHOOSE(Assumptions!$B$4,D10,E10,F10)</f>
        <v>30</v>
      </c>
      <c r="H10" s="9" t="s">
        <v>91</v>
      </c>
    </row>
    <row r="11" customFormat="false" ht="15" hidden="false" customHeight="false" outlineLevel="0" collapsed="false">
      <c r="A11" s="5" t="n">
        <v>8</v>
      </c>
      <c r="B11" s="5" t="s">
        <v>92</v>
      </c>
      <c r="C11" s="5" t="s">
        <v>93</v>
      </c>
      <c r="D11" s="18" t="n">
        <v>50</v>
      </c>
      <c r="E11" s="18" t="n">
        <v>60</v>
      </c>
      <c r="F11" s="18" t="n">
        <v>70</v>
      </c>
      <c r="G11" s="19" t="n">
        <f aca="false">CHOOSE(Assumptions!$B$4,D11,E11,F11)</f>
        <v>60</v>
      </c>
      <c r="H11" s="9" t="s">
        <v>94</v>
      </c>
    </row>
    <row r="12" customFormat="false" ht="15" hidden="false" customHeight="false" outlineLevel="0" collapsed="false">
      <c r="A12" s="5" t="n">
        <v>9</v>
      </c>
      <c r="B12" s="5" t="s">
        <v>95</v>
      </c>
      <c r="C12" s="5" t="s">
        <v>96</v>
      </c>
      <c r="D12" s="18" t="n">
        <v>5</v>
      </c>
      <c r="E12" s="18" t="n">
        <v>8</v>
      </c>
      <c r="F12" s="18" t="n">
        <v>12</v>
      </c>
      <c r="G12" s="19" t="n">
        <f aca="false">CHOOSE(Assumptions!$B$4,D12,E12,F12)</f>
        <v>8</v>
      </c>
      <c r="H12" s="9" t="s">
        <v>97</v>
      </c>
    </row>
    <row r="13" customFormat="false" ht="15" hidden="false" customHeight="false" outlineLevel="0" collapsed="false">
      <c r="A13" s="5" t="n">
        <v>10</v>
      </c>
      <c r="B13" s="5" t="s">
        <v>98</v>
      </c>
      <c r="C13" s="5" t="s">
        <v>99</v>
      </c>
      <c r="D13" s="18" t="n">
        <v>15</v>
      </c>
      <c r="E13" s="18" t="n">
        <v>21</v>
      </c>
      <c r="F13" s="18" t="n">
        <v>28</v>
      </c>
      <c r="G13" s="19" t="n">
        <f aca="false">CHOOSE(Assumptions!$B$4,D13,E13,F13)</f>
        <v>21</v>
      </c>
      <c r="H13" s="9" t="s">
        <v>100</v>
      </c>
    </row>
    <row r="14" customFormat="false" ht="15" hidden="false" customHeight="false" outlineLevel="0" collapsed="false">
      <c r="A14" s="5" t="n">
        <v>11</v>
      </c>
      <c r="B14" s="5" t="s">
        <v>101</v>
      </c>
      <c r="C14" s="5" t="s">
        <v>102</v>
      </c>
      <c r="D14" s="18" t="n">
        <v>12</v>
      </c>
      <c r="E14" s="18" t="n">
        <v>16</v>
      </c>
      <c r="F14" s="18" t="n">
        <v>20</v>
      </c>
      <c r="G14" s="19" t="n">
        <f aca="false">CHOOSE(Assumptions!$B$4,D14,E14,F14)</f>
        <v>16</v>
      </c>
      <c r="H14" s="9" t="s">
        <v>97</v>
      </c>
    </row>
    <row r="15" customFormat="false" ht="15" hidden="false" customHeight="false" outlineLevel="0" collapsed="false">
      <c r="A15" s="5" t="n">
        <v>12</v>
      </c>
      <c r="B15" s="5" t="s">
        <v>103</v>
      </c>
      <c r="C15" s="5" t="s">
        <v>104</v>
      </c>
      <c r="D15" s="18" t="n">
        <v>12</v>
      </c>
      <c r="E15" s="18" t="n">
        <v>15</v>
      </c>
      <c r="F15" s="18" t="n">
        <v>19</v>
      </c>
      <c r="G15" s="19" t="n">
        <f aca="false">CHOOSE(Assumptions!$B$4,D15,E15,F15)</f>
        <v>15</v>
      </c>
      <c r="H15" s="9" t="s">
        <v>105</v>
      </c>
    </row>
    <row r="16" customFormat="false" ht="15" hidden="false" customHeight="false" outlineLevel="0" collapsed="false">
      <c r="A16" s="5" t="n">
        <v>13</v>
      </c>
      <c r="B16" s="5" t="s">
        <v>106</v>
      </c>
      <c r="C16" s="5" t="s">
        <v>107</v>
      </c>
      <c r="D16" s="18" t="n">
        <v>20</v>
      </c>
      <c r="E16" s="18" t="n">
        <v>25</v>
      </c>
      <c r="F16" s="18" t="n">
        <v>30</v>
      </c>
      <c r="G16" s="19" t="n">
        <f aca="false">CHOOSE(Assumptions!$B$4,D16,E16,F16)</f>
        <v>25</v>
      </c>
      <c r="H16" s="9" t="s">
        <v>97</v>
      </c>
    </row>
    <row r="17" customFormat="false" ht="15" hidden="false" customHeight="false" outlineLevel="0" collapsed="false">
      <c r="A17" s="5" t="n">
        <v>14</v>
      </c>
      <c r="B17" s="5" t="s">
        <v>108</v>
      </c>
      <c r="C17" s="5" t="s">
        <v>109</v>
      </c>
      <c r="D17" s="18" t="n">
        <v>100</v>
      </c>
      <c r="E17" s="18" t="n">
        <v>100</v>
      </c>
      <c r="F17" s="18" t="n">
        <v>100</v>
      </c>
      <c r="G17" s="19" t="n">
        <f aca="false">CHOOSE(Assumptions!$B$4,D17,E17,F17)</f>
        <v>100</v>
      </c>
      <c r="H17" s="9" t="s">
        <v>110</v>
      </c>
    </row>
    <row r="18" customFormat="false" ht="15" hidden="false" customHeight="false" outlineLevel="0" collapsed="false">
      <c r="A18" s="5" t="n">
        <v>15</v>
      </c>
      <c r="B18" s="5" t="s">
        <v>111</v>
      </c>
      <c r="C18" s="5" t="s">
        <v>84</v>
      </c>
      <c r="D18" s="18" t="n">
        <v>0.5</v>
      </c>
      <c r="E18" s="18" t="n">
        <v>1</v>
      </c>
      <c r="F18" s="18" t="n">
        <v>1.5</v>
      </c>
      <c r="G18" s="19" t="n">
        <f aca="false">CHOOSE(Assumptions!$B$4,D18,E18,F18)</f>
        <v>1</v>
      </c>
      <c r="H18" s="9" t="s">
        <v>112</v>
      </c>
    </row>
    <row r="19" customFormat="false" ht="15" hidden="false" customHeight="false" outlineLevel="0" collapsed="false">
      <c r="A19" s="5"/>
      <c r="B19" s="20" t="s">
        <v>113</v>
      </c>
      <c r="C19" s="5"/>
      <c r="D19" s="21" t="n">
        <f aca="false">SUM(D4:D16)</f>
        <v>434</v>
      </c>
      <c r="E19" s="21" t="n">
        <f aca="false">SUM(E4:E16)</f>
        <v>545</v>
      </c>
      <c r="F19" s="21" t="n">
        <f aca="false">SUM(F4:F16)</f>
        <v>659</v>
      </c>
      <c r="G19" s="21" t="n">
        <f aca="false">SUM(G4:G16)</f>
        <v>545</v>
      </c>
      <c r="H19" s="5"/>
    </row>
    <row r="20" customFormat="false" ht="15" hidden="false" customHeight="false" outlineLevel="0" collapsed="false">
      <c r="A20" s="5"/>
      <c r="B20" s="20" t="s">
        <v>114</v>
      </c>
      <c r="C20" s="5"/>
      <c r="D20" s="21" t="n">
        <f aca="false">SUM(D17:D18)</f>
        <v>100.5</v>
      </c>
      <c r="E20" s="21" t="n">
        <f aca="false">SUM(E17:E18)</f>
        <v>101</v>
      </c>
      <c r="F20" s="21" t="n">
        <f aca="false">SUM(F17:F18)</f>
        <v>101.5</v>
      </c>
      <c r="G20" s="21" t="n">
        <f aca="false">SUM(G17:G18)</f>
        <v>101</v>
      </c>
      <c r="H20" s="5"/>
    </row>
    <row r="21" customFormat="false" ht="15" hidden="false" customHeight="false" outlineLevel="0" collapsed="false">
      <c r="A21" s="5"/>
      <c r="B21" s="20" t="s">
        <v>115</v>
      </c>
      <c r="C21" s="5"/>
      <c r="D21" s="21" t="n">
        <f aca="false">D19+D20</f>
        <v>534.5</v>
      </c>
      <c r="E21" s="21" t="n">
        <f aca="false">E19+E20</f>
        <v>646</v>
      </c>
      <c r="F21" s="21" t="n">
        <f aca="false">F19+F20</f>
        <v>760.5</v>
      </c>
      <c r="G21" s="21" t="n">
        <f aca="false">G19+G20</f>
        <v>646</v>
      </c>
      <c r="H21" s="5"/>
    </row>
    <row r="22" customFormat="false" ht="15" hidden="false" customHeight="false" outlineLevel="0" collapsed="false">
      <c r="A22" s="5"/>
      <c r="B22" s="5" t="s">
        <v>116</v>
      </c>
      <c r="C22" s="5"/>
      <c r="D22" s="22" t="n">
        <f aca="false">D21/Assumptions!$B$5</f>
        <v>0.0164461538461538</v>
      </c>
      <c r="E22" s="22" t="n">
        <f aca="false">E21/Assumptions!$B$5</f>
        <v>0.0198769230769231</v>
      </c>
      <c r="F22" s="22" t="n">
        <f aca="false">F21/Assumptions!$B$5</f>
        <v>0.0234</v>
      </c>
      <c r="G22" s="22" t="n">
        <f aca="false">G21/Assumptions!$B$5</f>
        <v>0.0198769230769231</v>
      </c>
      <c r="H22" s="5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70"/>
    <col collapsed="false" customWidth="true" hidden="false" outlineLevel="0" max="3" min="3" style="0" width="16"/>
    <col collapsed="false" customWidth="true" hidden="false" outlineLevel="0" max="6" min="4" style="0" width="10"/>
    <col collapsed="false" customWidth="true" hidden="false" outlineLevel="0" max="7" min="7" style="0" width="12"/>
  </cols>
  <sheetData>
    <row r="1" customFormat="false" ht="17.35" hidden="false" customHeight="false" outlineLevel="0" collapsed="false">
      <c r="A1" s="4" t="s">
        <v>117</v>
      </c>
      <c r="B1" s="5"/>
      <c r="C1" s="5"/>
      <c r="D1" s="5"/>
      <c r="E1" s="5"/>
      <c r="F1" s="5"/>
      <c r="G1" s="5"/>
    </row>
    <row r="2" customFormat="false" ht="15" hidden="false" customHeight="false" outlineLevel="0" collapsed="false">
      <c r="A2" s="5"/>
      <c r="B2" s="5"/>
      <c r="C2" s="5"/>
      <c r="D2" s="5"/>
      <c r="E2" s="5"/>
      <c r="F2" s="5"/>
      <c r="G2" s="5"/>
    </row>
    <row r="3" customFormat="false" ht="15" hidden="false" customHeight="false" outlineLevel="0" collapsed="false">
      <c r="A3" s="6" t="s">
        <v>67</v>
      </c>
      <c r="B3" s="6" t="s">
        <v>118</v>
      </c>
      <c r="C3" s="6" t="s">
        <v>119</v>
      </c>
      <c r="D3" s="6" t="s">
        <v>70</v>
      </c>
      <c r="E3" s="6" t="s">
        <v>71</v>
      </c>
      <c r="F3" s="6" t="s">
        <v>72</v>
      </c>
      <c r="G3" s="6" t="s">
        <v>73</v>
      </c>
    </row>
    <row r="4" customFormat="false" ht="15" hidden="false" customHeight="false" outlineLevel="0" collapsed="false">
      <c r="A4" s="5" t="n">
        <v>1</v>
      </c>
      <c r="B4" s="5" t="s">
        <v>120</v>
      </c>
      <c r="C4" s="5" t="s">
        <v>121</v>
      </c>
      <c r="D4" s="18" t="n">
        <v>150</v>
      </c>
      <c r="E4" s="18" t="n">
        <v>200</v>
      </c>
      <c r="F4" s="18" t="n">
        <v>250</v>
      </c>
      <c r="G4" s="19" t="n">
        <f aca="false">CHOOSE(Assumptions!$B$4,D4,E4,F4)</f>
        <v>200</v>
      </c>
    </row>
    <row r="5" customFormat="false" ht="15" hidden="false" customHeight="false" outlineLevel="0" collapsed="false">
      <c r="A5" s="5" t="n">
        <v>2</v>
      </c>
      <c r="B5" s="5" t="s">
        <v>122</v>
      </c>
      <c r="C5" s="5" t="s">
        <v>121</v>
      </c>
      <c r="D5" s="18" t="n">
        <v>100</v>
      </c>
      <c r="E5" s="18" t="n">
        <v>125</v>
      </c>
      <c r="F5" s="18" t="n">
        <v>150</v>
      </c>
      <c r="G5" s="19" t="n">
        <f aca="false">CHOOSE(Assumptions!$B$4,D5,E5,F5)</f>
        <v>125</v>
      </c>
    </row>
    <row r="6" customFormat="false" ht="15" hidden="false" customHeight="false" outlineLevel="0" collapsed="false">
      <c r="A6" s="5" t="n">
        <v>3</v>
      </c>
      <c r="B6" s="5" t="s">
        <v>123</v>
      </c>
      <c r="C6" s="5" t="s">
        <v>121</v>
      </c>
      <c r="D6" s="18" t="n">
        <v>50</v>
      </c>
      <c r="E6" s="18" t="n">
        <v>65</v>
      </c>
      <c r="F6" s="18" t="n">
        <v>80</v>
      </c>
      <c r="G6" s="19" t="n">
        <f aca="false">CHOOSE(Assumptions!$B$4,D6,E6,F6)</f>
        <v>65</v>
      </c>
    </row>
    <row r="7" customFormat="false" ht="15" hidden="false" customHeight="false" outlineLevel="0" collapsed="false">
      <c r="A7" s="5" t="n">
        <v>4</v>
      </c>
      <c r="B7" s="5" t="s">
        <v>124</v>
      </c>
      <c r="C7" s="5" t="s">
        <v>121</v>
      </c>
      <c r="D7" s="18" t="n">
        <v>100</v>
      </c>
      <c r="E7" s="18" t="n">
        <v>150</v>
      </c>
      <c r="F7" s="18" t="n">
        <v>200</v>
      </c>
      <c r="G7" s="19" t="n">
        <f aca="false">CHOOSE(Assumptions!$B$4,D7,E7,F7)</f>
        <v>150</v>
      </c>
    </row>
    <row r="8" customFormat="false" ht="15" hidden="false" customHeight="false" outlineLevel="0" collapsed="false">
      <c r="A8" s="5" t="n">
        <v>5</v>
      </c>
      <c r="B8" s="5" t="s">
        <v>125</v>
      </c>
      <c r="C8" s="5" t="s">
        <v>121</v>
      </c>
      <c r="D8" s="18" t="n">
        <v>30</v>
      </c>
      <c r="E8" s="18" t="n">
        <v>40</v>
      </c>
      <c r="F8" s="18" t="n">
        <v>50</v>
      </c>
      <c r="G8" s="19" t="n">
        <f aca="false">CHOOSE(Assumptions!$B$4,D8,E8,F8)</f>
        <v>40</v>
      </c>
    </row>
    <row r="9" customFormat="false" ht="15" hidden="false" customHeight="false" outlineLevel="0" collapsed="false">
      <c r="A9" s="5" t="n">
        <v>6</v>
      </c>
      <c r="B9" s="5" t="s">
        <v>126</v>
      </c>
      <c r="C9" s="5" t="s">
        <v>127</v>
      </c>
      <c r="D9" s="18" t="n">
        <v>40</v>
      </c>
      <c r="E9" s="18" t="n">
        <v>50</v>
      </c>
      <c r="F9" s="18" t="n">
        <v>60</v>
      </c>
      <c r="G9" s="19" t="n">
        <f aca="false">CHOOSE(Assumptions!$B$4,D9,E9,F9)</f>
        <v>50</v>
      </c>
    </row>
    <row r="10" customFormat="false" ht="15" hidden="false" customHeight="false" outlineLevel="0" collapsed="false">
      <c r="A10" s="5" t="n">
        <v>7</v>
      </c>
      <c r="B10" s="5" t="s">
        <v>128</v>
      </c>
      <c r="C10" s="5" t="s">
        <v>129</v>
      </c>
      <c r="D10" s="18" t="n">
        <v>30</v>
      </c>
      <c r="E10" s="18" t="n">
        <v>45</v>
      </c>
      <c r="F10" s="18" t="n">
        <v>60</v>
      </c>
      <c r="G10" s="19" t="n">
        <f aca="false">CHOOSE(Assumptions!$B$4,D10,E10,F10)</f>
        <v>45</v>
      </c>
    </row>
    <row r="11" customFormat="false" ht="15" hidden="false" customHeight="false" outlineLevel="0" collapsed="false">
      <c r="A11" s="5" t="n">
        <v>8</v>
      </c>
      <c r="B11" s="5" t="s">
        <v>130</v>
      </c>
      <c r="C11" s="5" t="s">
        <v>131</v>
      </c>
      <c r="D11" s="18" t="n">
        <v>0</v>
      </c>
      <c r="E11" s="18" t="n">
        <v>0</v>
      </c>
      <c r="F11" s="18" t="n">
        <v>0</v>
      </c>
      <c r="G11" s="19" t="n">
        <f aca="false">CHOOSE(Assumptions!$B$4,D11,E11,F11)</f>
        <v>0</v>
      </c>
    </row>
    <row r="12" customFormat="false" ht="15" hidden="false" customHeight="false" outlineLevel="0" collapsed="false">
      <c r="A12" s="5"/>
      <c r="B12" s="20" t="s">
        <v>132</v>
      </c>
      <c r="C12" s="5"/>
      <c r="D12" s="21" t="n">
        <f aca="false">SUMIFS(D4:D11,$C$4:$C$11,"conventional")</f>
        <v>430</v>
      </c>
      <c r="E12" s="21" t="n">
        <f aca="false">SUMIFS(E4:E11,$C$4:$C$11,"conventional")</f>
        <v>580</v>
      </c>
      <c r="F12" s="21" t="n">
        <f aca="false">SUMIFS(F4:F11,$C$4:$C$11,"conventional")</f>
        <v>730</v>
      </c>
      <c r="G12" s="21" t="n">
        <f aca="false">SUMIFS(G4:G11,$C$4:$C$11,"conventional")</f>
        <v>580</v>
      </c>
    </row>
    <row r="13" customFormat="false" ht="15" hidden="false" customHeight="false" outlineLevel="0" collapsed="false">
      <c r="A13" s="5"/>
      <c r="B13" s="20" t="s">
        <v>133</v>
      </c>
      <c r="C13" s="5"/>
      <c r="D13" s="21" t="n">
        <f aca="false">SUM(D4:D11)</f>
        <v>500</v>
      </c>
      <c r="E13" s="21" t="n">
        <f aca="false">SUM(E4:E11)</f>
        <v>675</v>
      </c>
      <c r="F13" s="21" t="n">
        <f aca="false">SUM(F4:F11)</f>
        <v>850</v>
      </c>
      <c r="G13" s="21" t="n">
        <f aca="false">SUM(G4:G11)</f>
        <v>675</v>
      </c>
    </row>
    <row r="14" customFormat="false" ht="15" hidden="false" customHeight="false" outlineLevel="0" collapsed="false">
      <c r="A14" s="5"/>
      <c r="B14" s="5" t="s">
        <v>116</v>
      </c>
      <c r="C14" s="5"/>
      <c r="D14" s="22" t="n">
        <f aca="false">D13/Assumptions!$B$5</f>
        <v>0.0153846153846154</v>
      </c>
      <c r="E14" s="22" t="n">
        <f aca="false">E13/Assumptions!$B$5</f>
        <v>0.0207692307692308</v>
      </c>
      <c r="F14" s="22" t="n">
        <f aca="false">F13/Assumptions!$B$5</f>
        <v>0.0261538461538462</v>
      </c>
      <c r="G14" s="22" t="n">
        <f aca="false">G13/Assumptions!$B$5</f>
        <v>0.0207692307692308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5" min="2" style="0" width="12"/>
  </cols>
  <sheetData>
    <row r="1" customFormat="false" ht="17.35" hidden="false" customHeight="false" outlineLevel="0" collapsed="false">
      <c r="A1" s="4" t="s">
        <v>134</v>
      </c>
      <c r="B1" s="5"/>
      <c r="C1" s="5"/>
      <c r="D1" s="5"/>
      <c r="E1" s="5"/>
    </row>
    <row r="2" customFormat="false" ht="15" hidden="false" customHeight="false" outlineLevel="0" collapsed="false">
      <c r="A2" s="5"/>
      <c r="B2" s="5"/>
      <c r="C2" s="5"/>
      <c r="D2" s="5"/>
      <c r="E2" s="5"/>
    </row>
    <row r="3" customFormat="false" ht="15" hidden="false" customHeight="false" outlineLevel="0" collapsed="false">
      <c r="A3" s="6" t="s">
        <v>135</v>
      </c>
      <c r="B3" s="6" t="s">
        <v>70</v>
      </c>
      <c r="C3" s="6" t="s">
        <v>71</v>
      </c>
      <c r="D3" s="6" t="s">
        <v>72</v>
      </c>
      <c r="E3" s="6" t="s">
        <v>73</v>
      </c>
    </row>
    <row r="4" customFormat="false" ht="15" hidden="false" customHeight="false" outlineLevel="0" collapsed="false">
      <c r="A4" s="5" t="s">
        <v>136</v>
      </c>
      <c r="B4" s="23" t="n">
        <f aca="false">'E2 Commitments'!D21</f>
        <v>534.5</v>
      </c>
      <c r="C4" s="23" t="n">
        <f aca="false">'E2 Commitments'!E21</f>
        <v>646</v>
      </c>
      <c r="D4" s="23" t="n">
        <f aca="false">'E2 Commitments'!F21</f>
        <v>760.5</v>
      </c>
      <c r="E4" s="23" t="n">
        <f aca="false">'E2 Commitments'!G21</f>
        <v>646</v>
      </c>
    </row>
    <row r="5" customFormat="false" ht="15" hidden="false" customHeight="false" outlineLevel="0" collapsed="false">
      <c r="A5" s="5" t="s">
        <v>137</v>
      </c>
      <c r="B5" s="23" t="n">
        <f aca="false">'E3 Revenue'!D13</f>
        <v>500</v>
      </c>
      <c r="C5" s="23" t="n">
        <f aca="false">'E3 Revenue'!E13</f>
        <v>675</v>
      </c>
      <c r="D5" s="23" t="n">
        <f aca="false">'E3 Revenue'!F13</f>
        <v>850</v>
      </c>
      <c r="E5" s="23" t="n">
        <f aca="false">'E3 Revenue'!G13</f>
        <v>675</v>
      </c>
    </row>
    <row r="6" customFormat="false" ht="15" hidden="false" customHeight="false" outlineLevel="0" collapsed="false">
      <c r="A6" s="5" t="s">
        <v>138</v>
      </c>
      <c r="B6" s="24" t="n">
        <f aca="false">B5-B4</f>
        <v>-34.5</v>
      </c>
      <c r="C6" s="24" t="n">
        <f aca="false">C5-C4</f>
        <v>29</v>
      </c>
      <c r="D6" s="24" t="n">
        <f aca="false">D5-D4</f>
        <v>89.5</v>
      </c>
      <c r="E6" s="24" t="n">
        <f aca="false">E5-E4</f>
        <v>29</v>
      </c>
    </row>
    <row r="7" customFormat="false" ht="15" hidden="false" customHeight="false" outlineLevel="0" collapsed="false">
      <c r="A7" s="5" t="s">
        <v>139</v>
      </c>
      <c r="B7" s="24" t="n">
        <f aca="false">'E3 Revenue'!D12-B4</f>
        <v>-104.5</v>
      </c>
      <c r="C7" s="24" t="n">
        <f aca="false">'E3 Revenue'!E12-C4</f>
        <v>-66</v>
      </c>
      <c r="D7" s="24" t="n">
        <f aca="false">'E3 Revenue'!F12-D4</f>
        <v>-30.5</v>
      </c>
      <c r="E7" s="24" t="n">
        <f aca="false">'E3 Revenue'!G12-E4</f>
        <v>-66</v>
      </c>
    </row>
    <row r="8" customFormat="false" ht="15" hidden="false" customHeight="false" outlineLevel="0" collapsed="false">
      <c r="A8" s="5" t="s">
        <v>140</v>
      </c>
      <c r="B8" s="25" t="n">
        <f aca="false">B6/Assumptions!$B$5</f>
        <v>-0.00106153846153846</v>
      </c>
      <c r="C8" s="25" t="n">
        <f aca="false">C6/Assumptions!$B$5</f>
        <v>0.000892307692307692</v>
      </c>
      <c r="D8" s="25" t="n">
        <f aca="false">D6/Assumptions!$B$5</f>
        <v>0.00275384615384615</v>
      </c>
      <c r="E8" s="25" t="n">
        <f aca="false">E6/Assumptions!$B$5</f>
        <v>0.000892307692307692</v>
      </c>
    </row>
    <row r="9" customFormat="false" ht="15" hidden="false" customHeight="false" outlineLevel="0" collapsed="false">
      <c r="A9" s="5" t="s">
        <v>141</v>
      </c>
      <c r="B9" s="25" t="n">
        <f aca="false">B7/Assumptions!$B$5</f>
        <v>-0.00321538461538462</v>
      </c>
      <c r="C9" s="25" t="n">
        <f aca="false">C7/Assumptions!$B$5</f>
        <v>-0.00203076923076923</v>
      </c>
      <c r="D9" s="25" t="n">
        <f aca="false">D7/Assumptions!$B$5</f>
        <v>-0.000938461538461539</v>
      </c>
      <c r="E9" s="25" t="n">
        <f aca="false">E7/Assumptions!$B$5</f>
        <v>-0.00203076923076923</v>
      </c>
    </row>
    <row r="10" customFormat="false" ht="15" hidden="false" customHeight="false" outlineLevel="0" collapsed="false">
      <c r="A10" s="5"/>
      <c r="B10" s="5"/>
      <c r="C10" s="5"/>
      <c r="D10" s="5"/>
      <c r="E10" s="5"/>
    </row>
    <row r="11" customFormat="false" ht="15" hidden="false" customHeight="false" outlineLevel="0" collapsed="false">
      <c r="A11" s="20" t="s">
        <v>142</v>
      </c>
      <c r="B11" s="5"/>
      <c r="C11" s="5"/>
      <c r="D11" s="5"/>
      <c r="E11" s="5"/>
    </row>
    <row r="12" customFormat="false" ht="15" hidden="false" customHeight="false" outlineLevel="0" collapsed="false">
      <c r="A12" s="5" t="s">
        <v>143</v>
      </c>
      <c r="B12" s="19" t="n">
        <f aca="false">SQRT(SUMPRODUCT((('E2 Commitments'!F4:F18-'E2 Commitments'!D4:D18)/2)^2))</f>
        <v>34.7562943939655</v>
      </c>
      <c r="C12" s="5"/>
      <c r="D12" s="5"/>
      <c r="E12" s="5"/>
    </row>
    <row r="13" customFormat="false" ht="15" hidden="false" customHeight="false" outlineLevel="0" collapsed="false">
      <c r="A13" s="5" t="s">
        <v>144</v>
      </c>
      <c r="B13" s="19" t="n">
        <f aca="false">SQRT(SUMPRODUCT((('E3 Revenue'!F4:F11-'E3 Revenue'!D4:D11)/2)^2))</f>
        <v>79.2148975887743</v>
      </c>
      <c r="C13" s="5"/>
      <c r="D13" s="5"/>
      <c r="E13" s="5"/>
    </row>
    <row r="14" customFormat="false" ht="15" hidden="false" customHeight="false" outlineLevel="0" collapsed="false">
      <c r="A14" s="5" t="s">
        <v>145</v>
      </c>
      <c r="B14" s="19" t="n">
        <f aca="false">SQRT(B12^2+B13^2)</f>
        <v>86.5043351514824</v>
      </c>
      <c r="C14" s="5"/>
      <c r="D14" s="5"/>
      <c r="E14" s="5"/>
    </row>
    <row r="15" customFormat="false" ht="15" hidden="false" customHeight="false" outlineLevel="0" collapsed="false">
      <c r="A15" s="5" t="s">
        <v>146</v>
      </c>
      <c r="B15" s="19" t="n">
        <f aca="false">C6-B14</f>
        <v>-57.5043351514824</v>
      </c>
      <c r="C15" s="5"/>
      <c r="D15" s="5"/>
      <c r="E15" s="5"/>
    </row>
    <row r="16" customFormat="false" ht="15" hidden="false" customHeight="false" outlineLevel="0" collapsed="false">
      <c r="A16" s="5" t="s">
        <v>147</v>
      </c>
      <c r="B16" s="19" t="n">
        <f aca="false">C6+B14</f>
        <v>115.504335151482</v>
      </c>
      <c r="C16" s="5"/>
      <c r="D16" s="5"/>
      <c r="E16" s="5"/>
    </row>
    <row r="17" customFormat="false" ht="15" hidden="false" customHeight="false" outlineLevel="0" collapsed="false">
      <c r="A17" s="5" t="s">
        <v>148</v>
      </c>
      <c r="B17" s="19" t="n">
        <f aca="false">B5-D4</f>
        <v>-260.5</v>
      </c>
      <c r="C17" s="5"/>
      <c r="D17" s="5"/>
      <c r="E17" s="5"/>
    </row>
    <row r="18" customFormat="false" ht="15" hidden="false" customHeight="false" outlineLevel="0" collapsed="false">
      <c r="A18" s="5" t="s">
        <v>149</v>
      </c>
      <c r="B18" s="19" t="n">
        <f aca="false">D5-B4</f>
        <v>315.5</v>
      </c>
      <c r="C18" s="5"/>
      <c r="D18" s="5"/>
      <c r="E18" s="5"/>
    </row>
    <row r="19" customFormat="false" ht="15" hidden="false" customHeight="false" outlineLevel="0" collapsed="false">
      <c r="A19" s="5"/>
      <c r="B19" s="5"/>
      <c r="C19" s="5"/>
      <c r="D19" s="5"/>
      <c r="E19" s="5"/>
    </row>
    <row r="20" customFormat="false" ht="15" hidden="false" customHeight="false" outlineLevel="0" collapsed="false">
      <c r="A20" s="9" t="s">
        <v>150</v>
      </c>
      <c r="B20" s="5"/>
      <c r="C20" s="5"/>
      <c r="D20" s="5"/>
      <c r="E20" s="5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0"/>
    <col collapsed="false" customWidth="true" hidden="false" outlineLevel="0" max="4" min="2" style="0" width="12"/>
  </cols>
  <sheetData>
    <row r="1" customFormat="false" ht="17.35" hidden="false" customHeight="false" outlineLevel="0" collapsed="false">
      <c r="A1" s="4" t="s">
        <v>151</v>
      </c>
      <c r="B1" s="5"/>
      <c r="C1" s="5"/>
      <c r="D1" s="5"/>
    </row>
    <row r="2" customFormat="false" ht="15" hidden="false" customHeight="false" outlineLevel="0" collapsed="false">
      <c r="A2" s="5"/>
      <c r="B2" s="5"/>
      <c r="C2" s="5"/>
      <c r="D2" s="5"/>
    </row>
    <row r="3" customFormat="false" ht="15" hidden="false" customHeight="false" outlineLevel="0" collapsed="false">
      <c r="A3" s="6" t="s">
        <v>135</v>
      </c>
      <c r="B3" s="6" t="s">
        <v>70</v>
      </c>
      <c r="C3" s="6" t="s">
        <v>71</v>
      </c>
      <c r="D3" s="6" t="s">
        <v>72</v>
      </c>
    </row>
    <row r="4" customFormat="false" ht="15" hidden="false" customHeight="false" outlineLevel="0" collapsed="false">
      <c r="A4" s="5" t="s">
        <v>152</v>
      </c>
      <c r="B4" s="10" t="n">
        <v>1500</v>
      </c>
      <c r="C4" s="10" t="n">
        <v>2250</v>
      </c>
      <c r="D4" s="10" t="n">
        <v>3000</v>
      </c>
    </row>
    <row r="5" customFormat="false" ht="15" hidden="false" customHeight="false" outlineLevel="0" collapsed="false">
      <c r="A5" s="5" t="s">
        <v>153</v>
      </c>
      <c r="B5" s="26" t="n">
        <f aca="false">B4/Assumptions!$B$5</f>
        <v>0.0461538461538462</v>
      </c>
      <c r="C5" s="26" t="n">
        <f aca="false">C4/Assumptions!$B$5</f>
        <v>0.0692307692307692</v>
      </c>
      <c r="D5" s="26" t="n">
        <f aca="false">D4/Assumptions!$B$5</f>
        <v>0.0923076923076923</v>
      </c>
    </row>
    <row r="6" customFormat="false" ht="15" hidden="false" customHeight="false" outlineLevel="0" collapsed="false">
      <c r="A6" s="5" t="s">
        <v>154</v>
      </c>
      <c r="B6" s="10" t="n">
        <v>-700</v>
      </c>
      <c r="C6" s="10" t="n">
        <v>-200</v>
      </c>
      <c r="D6" s="10" t="n">
        <v>300</v>
      </c>
    </row>
    <row r="7" customFormat="false" ht="15" hidden="false" customHeight="false" outlineLevel="0" collapsed="false">
      <c r="A7" s="5" t="s">
        <v>155</v>
      </c>
      <c r="B7" s="27" t="n">
        <f aca="false">B4-B6</f>
        <v>2200</v>
      </c>
      <c r="C7" s="27" t="n">
        <f aca="false">C4-C6</f>
        <v>2450</v>
      </c>
      <c r="D7" s="27" t="n">
        <f aca="false">D4-D6</f>
        <v>2700</v>
      </c>
    </row>
    <row r="8" customFormat="false" ht="15" hidden="false" customHeight="false" outlineLevel="0" collapsed="false">
      <c r="A8" s="5" t="s">
        <v>156</v>
      </c>
      <c r="B8" s="27" t="n">
        <f aca="false">B7*Assumptions!$B$7/(Assumptions!$B$7+Assumptions!$B$8+Assumptions!$B$9)</f>
        <v>993.548387096774</v>
      </c>
      <c r="C8" s="27" t="n">
        <f aca="false">C7*Assumptions!$B$7/(Assumptions!$B$7+Assumptions!$B$8+Assumptions!$B$9)</f>
        <v>1106.45161290323</v>
      </c>
      <c r="D8" s="27" t="n">
        <f aca="false">D7*Assumptions!$B$7/(Assumptions!$B$7+Assumptions!$B$8+Assumptions!$B$9)</f>
        <v>1219.35483870968</v>
      </c>
    </row>
    <row r="9" customFormat="false" ht="15" hidden="false" customHeight="false" outlineLevel="0" collapsed="false">
      <c r="A9" s="5" t="s">
        <v>157</v>
      </c>
      <c r="B9" s="27" t="n">
        <f aca="false">B7*Assumptions!$B$8/(Assumptions!$B$7+Assumptions!$B$8+Assumptions!$B$9)</f>
        <v>638.709677419355</v>
      </c>
      <c r="C9" s="27" t="n">
        <f aca="false">C7*Assumptions!$B$8/(Assumptions!$B$7+Assumptions!$B$8+Assumptions!$B$9)</f>
        <v>711.290322580645</v>
      </c>
      <c r="D9" s="27" t="n">
        <f aca="false">D7*Assumptions!$B$8/(Assumptions!$B$7+Assumptions!$B$8+Assumptions!$B$9)</f>
        <v>783.870967741936</v>
      </c>
    </row>
    <row r="10" customFormat="false" ht="15" hidden="false" customHeight="false" outlineLevel="0" collapsed="false">
      <c r="A10" s="5" t="s">
        <v>158</v>
      </c>
      <c r="B10" s="27" t="n">
        <f aca="false">B7*Assumptions!$B$9/(Assumptions!$B$7+Assumptions!$B$8+Assumptions!$B$9)</f>
        <v>567.741935483871</v>
      </c>
      <c r="C10" s="27" t="n">
        <f aca="false">C7*Assumptions!$B$9/(Assumptions!$B$7+Assumptions!$B$8+Assumptions!$B$9)</f>
        <v>632.258064516129</v>
      </c>
      <c r="D10" s="27" t="n">
        <f aca="false">D7*Assumptions!$B$9/(Assumptions!$B$7+Assumptions!$B$8+Assumptions!$B$9)</f>
        <v>696.774193548387</v>
      </c>
    </row>
    <row r="11" customFormat="false" ht="15" hidden="false" customHeight="false" outlineLevel="0" collapsed="false">
      <c r="A11" s="5" t="s">
        <v>159</v>
      </c>
      <c r="B11" s="27" t="n">
        <f aca="false">B10*Assumptions!$B$10</f>
        <v>482.58064516129</v>
      </c>
      <c r="C11" s="27" t="n">
        <f aca="false">C10*Assumptions!$B$10</f>
        <v>537.41935483871</v>
      </c>
      <c r="D11" s="27" t="n">
        <f aca="false">D10*Assumptions!$B$10</f>
        <v>592.258064516129</v>
      </c>
    </row>
    <row r="12" customFormat="false" ht="15" hidden="false" customHeight="false" outlineLevel="0" collapsed="false">
      <c r="A12" s="5" t="s">
        <v>160</v>
      </c>
      <c r="B12" s="27" t="n">
        <f aca="false">B9*Assumptions!$B$11</f>
        <v>542.903225806452</v>
      </c>
      <c r="C12" s="27" t="n">
        <f aca="false">C9*Assumptions!$B$11</f>
        <v>604.596774193548</v>
      </c>
      <c r="D12" s="27" t="n">
        <f aca="false">D9*Assumptions!$B$11</f>
        <v>666.290322580645</v>
      </c>
    </row>
    <row r="13" customFormat="false" ht="15" hidden="false" customHeight="false" outlineLevel="0" collapsed="false">
      <c r="A13" s="5" t="s">
        <v>161</v>
      </c>
      <c r="B13" s="26" t="n">
        <f aca="false">B12/Assumptions!$B$6</f>
        <v>0.0405151661049591</v>
      </c>
      <c r="C13" s="26" t="n">
        <f aca="false">C12/Assumptions!$B$6</f>
        <v>0.0451191622532499</v>
      </c>
      <c r="D13" s="26" t="n">
        <f aca="false">D12/Assumptions!$B$6</f>
        <v>0.0497231584015407</v>
      </c>
    </row>
    <row r="14" customFormat="false" ht="15" hidden="false" customHeight="false" outlineLevel="0" collapsed="false">
      <c r="A14" s="5" t="s">
        <v>162</v>
      </c>
      <c r="B14" s="27" t="n">
        <f aca="false">B9-B12</f>
        <v>95.8064516129033</v>
      </c>
      <c r="C14" s="27" t="n">
        <f aca="false">C9-C12</f>
        <v>106.693548387097</v>
      </c>
      <c r="D14" s="27" t="n">
        <f aca="false">D9-D12</f>
        <v>117.58064516129</v>
      </c>
    </row>
    <row r="15" customFormat="false" ht="15" hidden="false" customHeight="false" outlineLevel="0" collapsed="false">
      <c r="A15" s="5" t="s">
        <v>163</v>
      </c>
      <c r="B15" s="27" t="n">
        <f aca="false">B14*Assumptions!$B$12</f>
        <v>28.741935483871</v>
      </c>
      <c r="C15" s="27" t="n">
        <f aca="false">C14*Assumptions!$B$12</f>
        <v>32.008064516129</v>
      </c>
      <c r="D15" s="27" t="n">
        <f aca="false">D14*Assumptions!$B$12</f>
        <v>35.2741935483871</v>
      </c>
    </row>
    <row r="16" customFormat="false" ht="15" hidden="false" customHeight="false" outlineLevel="0" collapsed="false">
      <c r="A16" s="5" t="s">
        <v>164</v>
      </c>
      <c r="B16" s="27" t="n">
        <f aca="false">B4-B11-B12-B15</f>
        <v>445.774193548387</v>
      </c>
      <c r="C16" s="27" t="n">
        <f aca="false">C4-C11-C12-C15</f>
        <v>1075.97580645161</v>
      </c>
      <c r="D16" s="27" t="n">
        <f aca="false">D4-D11-D12-D15</f>
        <v>1706.17741935484</v>
      </c>
    </row>
    <row r="17" customFormat="false" ht="15" hidden="false" customHeight="false" outlineLevel="0" collapsed="false">
      <c r="A17" s="5" t="s">
        <v>165</v>
      </c>
      <c r="B17" s="27" t="n">
        <f aca="false">B8-B16+B14-B15</f>
        <v>614.83870967742</v>
      </c>
      <c r="C17" s="27" t="n">
        <f aca="false">C8-C16+C14-C15</f>
        <v>105.161290322581</v>
      </c>
      <c r="D17" s="27" t="n">
        <f aca="false">D8-D16+D14-D15</f>
        <v>-404.516129032258</v>
      </c>
    </row>
    <row r="18" customFormat="false" ht="15" hidden="false" customHeight="false" outlineLevel="0" collapsed="false">
      <c r="A18" s="5" t="s">
        <v>166</v>
      </c>
      <c r="B18" s="27" t="n">
        <f aca="false">B10-B11</f>
        <v>85.1612903225807</v>
      </c>
      <c r="C18" s="27" t="n">
        <f aca="false">C10-C11</f>
        <v>94.8387096774194</v>
      </c>
      <c r="D18" s="27" t="n">
        <f aca="false">D10-D11</f>
        <v>104.516129032258</v>
      </c>
    </row>
    <row r="19" customFormat="false" ht="15" hidden="false" customHeight="false" outlineLevel="0" collapsed="false">
      <c r="A19" s="5"/>
      <c r="B19" s="5"/>
      <c r="C19" s="5"/>
      <c r="D19" s="5"/>
    </row>
    <row r="20" customFormat="false" ht="15" hidden="false" customHeight="false" outlineLevel="0" collapsed="false">
      <c r="A20" s="9" t="s">
        <v>167</v>
      </c>
      <c r="B20" s="5"/>
      <c r="C20" s="5"/>
      <c r="D20" s="5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3" min="2" style="0" width="14"/>
    <col collapsed="false" customWidth="true" hidden="false" outlineLevel="0" max="4" min="4" style="0" width="12"/>
    <col collapsed="false" customWidth="true" hidden="false" outlineLevel="0" max="7" min="5" style="0" width="16"/>
  </cols>
  <sheetData>
    <row r="1" customFormat="false" ht="17.35" hidden="false" customHeight="false" outlineLevel="0" collapsed="false">
      <c r="A1" s="4" t="s">
        <v>168</v>
      </c>
      <c r="B1" s="5"/>
      <c r="C1" s="5"/>
      <c r="D1" s="5"/>
      <c r="E1" s="5"/>
      <c r="F1" s="5"/>
      <c r="G1" s="5"/>
    </row>
    <row r="2" customFormat="false" ht="15" hidden="false" customHeight="false" outlineLevel="0" collapsed="false">
      <c r="A2" s="5"/>
      <c r="B2" s="5"/>
      <c r="C2" s="5"/>
      <c r="D2" s="5"/>
      <c r="E2" s="5"/>
      <c r="F2" s="5"/>
      <c r="G2" s="5"/>
    </row>
    <row r="3" customFormat="false" ht="26.85" hidden="false" customHeight="false" outlineLevel="0" collapsed="false">
      <c r="A3" s="6" t="s">
        <v>169</v>
      </c>
      <c r="B3" s="6" t="s">
        <v>170</v>
      </c>
      <c r="C3" s="6" t="s">
        <v>171</v>
      </c>
      <c r="D3" s="6" t="s">
        <v>172</v>
      </c>
      <c r="E3" s="6" t="s">
        <v>173</v>
      </c>
      <c r="F3" s="6" t="s">
        <v>174</v>
      </c>
      <c r="G3" s="6" t="s">
        <v>175</v>
      </c>
    </row>
    <row r="4" customFormat="false" ht="15" hidden="false" customHeight="false" outlineLevel="0" collapsed="false">
      <c r="A4" s="5" t="n">
        <v>1</v>
      </c>
      <c r="B4" s="18" t="n">
        <v>100</v>
      </c>
      <c r="C4" s="19" t="n">
        <v>0</v>
      </c>
      <c r="D4" s="19" t="n">
        <v>0</v>
      </c>
      <c r="E4" s="19" t="n">
        <f aca="false">C4+D4</f>
        <v>0</v>
      </c>
      <c r="F4" s="19" t="n">
        <f aca="false">B4+D4</f>
        <v>100</v>
      </c>
      <c r="G4" s="19" t="n">
        <f aca="false">B4-C4</f>
        <v>100</v>
      </c>
    </row>
    <row r="5" customFormat="false" ht="15" hidden="false" customHeight="false" outlineLevel="0" collapsed="false">
      <c r="A5" s="5" t="n">
        <v>2</v>
      </c>
      <c r="B5" s="24" t="n">
        <f aca="false">B4</f>
        <v>100</v>
      </c>
      <c r="C5" s="19" t="n">
        <f aca="false">SUM($B$4:B4)/Assumptions!$B$19</f>
        <v>2.5</v>
      </c>
      <c r="D5" s="19" t="n">
        <f aca="false">G4*Assumptions!$B$20</f>
        <v>4</v>
      </c>
      <c r="E5" s="19" t="n">
        <f aca="false">C5+D5</f>
        <v>6.5</v>
      </c>
      <c r="F5" s="19" t="n">
        <f aca="false">B5+D5</f>
        <v>104</v>
      </c>
      <c r="G5" s="19" t="n">
        <f aca="false">G4+B5-C5</f>
        <v>197.5</v>
      </c>
    </row>
    <row r="6" customFormat="false" ht="15" hidden="false" customHeight="false" outlineLevel="0" collapsed="false">
      <c r="A6" s="5" t="n">
        <v>3</v>
      </c>
      <c r="B6" s="24" t="n">
        <f aca="false">B5</f>
        <v>100</v>
      </c>
      <c r="C6" s="19" t="n">
        <f aca="false">SUM($B$4:B5)/Assumptions!$B$19</f>
        <v>5</v>
      </c>
      <c r="D6" s="19" t="n">
        <f aca="false">G5*Assumptions!$B$20</f>
        <v>7.9</v>
      </c>
      <c r="E6" s="19" t="n">
        <f aca="false">C6+D6</f>
        <v>12.9</v>
      </c>
      <c r="F6" s="19" t="n">
        <f aca="false">B6+D6</f>
        <v>107.9</v>
      </c>
      <c r="G6" s="19" t="n">
        <f aca="false">G5+B6-C6</f>
        <v>292.5</v>
      </c>
    </row>
    <row r="7" customFormat="false" ht="15" hidden="false" customHeight="false" outlineLevel="0" collapsed="false">
      <c r="A7" s="5" t="n">
        <v>4</v>
      </c>
      <c r="B7" s="24" t="n">
        <f aca="false">B6</f>
        <v>100</v>
      </c>
      <c r="C7" s="19" t="n">
        <f aca="false">SUM($B$4:B6)/Assumptions!$B$19</f>
        <v>7.5</v>
      </c>
      <c r="D7" s="19" t="n">
        <f aca="false">G6*Assumptions!$B$20</f>
        <v>11.7</v>
      </c>
      <c r="E7" s="19" t="n">
        <f aca="false">C7+D7</f>
        <v>19.2</v>
      </c>
      <c r="F7" s="19" t="n">
        <f aca="false">B7+D7</f>
        <v>111.7</v>
      </c>
      <c r="G7" s="19" t="n">
        <f aca="false">G6+B7-C7</f>
        <v>385</v>
      </c>
    </row>
    <row r="8" customFormat="false" ht="15" hidden="false" customHeight="false" outlineLevel="0" collapsed="false">
      <c r="A8" s="5" t="n">
        <v>5</v>
      </c>
      <c r="B8" s="24" t="n">
        <f aca="false">B7</f>
        <v>100</v>
      </c>
      <c r="C8" s="19" t="n">
        <f aca="false">SUM($B$4:B7)/Assumptions!$B$19</f>
        <v>10</v>
      </c>
      <c r="D8" s="19" t="n">
        <f aca="false">G7*Assumptions!$B$20</f>
        <v>15.4</v>
      </c>
      <c r="E8" s="19" t="n">
        <f aca="false">C8+D8</f>
        <v>25.4</v>
      </c>
      <c r="F8" s="19" t="n">
        <f aca="false">B8+D8</f>
        <v>115.4</v>
      </c>
      <c r="G8" s="19" t="n">
        <f aca="false">G7+B8-C8</f>
        <v>475</v>
      </c>
    </row>
    <row r="9" customFormat="false" ht="15" hidden="false" customHeight="false" outlineLevel="0" collapsed="false">
      <c r="A9" s="5" t="n">
        <v>6</v>
      </c>
      <c r="B9" s="24" t="n">
        <f aca="false">B8</f>
        <v>100</v>
      </c>
      <c r="C9" s="19" t="n">
        <f aca="false">SUM($B$4:B8)/Assumptions!$B$19</f>
        <v>12.5</v>
      </c>
      <c r="D9" s="19" t="n">
        <f aca="false">G8*Assumptions!$B$20</f>
        <v>19</v>
      </c>
      <c r="E9" s="19" t="n">
        <f aca="false">C9+D9</f>
        <v>31.5</v>
      </c>
      <c r="F9" s="19" t="n">
        <f aca="false">B9+D9</f>
        <v>119</v>
      </c>
      <c r="G9" s="19" t="n">
        <f aca="false">G8+B9-C9</f>
        <v>562.5</v>
      </c>
    </row>
    <row r="10" customFormat="false" ht="15" hidden="false" customHeight="false" outlineLevel="0" collapsed="false">
      <c r="A10" s="5" t="n">
        <v>7</v>
      </c>
      <c r="B10" s="24" t="n">
        <f aca="false">B9</f>
        <v>100</v>
      </c>
      <c r="C10" s="19" t="n">
        <f aca="false">SUM($B$4:B9)/Assumptions!$B$19</f>
        <v>15</v>
      </c>
      <c r="D10" s="19" t="n">
        <f aca="false">G9*Assumptions!$B$20</f>
        <v>22.5</v>
      </c>
      <c r="E10" s="19" t="n">
        <f aca="false">C10+D10</f>
        <v>37.5</v>
      </c>
      <c r="F10" s="19" t="n">
        <f aca="false">B10+D10</f>
        <v>122.5</v>
      </c>
      <c r="G10" s="19" t="n">
        <f aca="false">G9+B10-C10</f>
        <v>647.5</v>
      </c>
    </row>
    <row r="11" customFormat="false" ht="15" hidden="false" customHeight="false" outlineLevel="0" collapsed="false">
      <c r="A11" s="5" t="n">
        <v>8</v>
      </c>
      <c r="B11" s="24" t="n">
        <f aca="false">B10</f>
        <v>100</v>
      </c>
      <c r="C11" s="19" t="n">
        <f aca="false">SUM($B$4:B10)/Assumptions!$B$19</f>
        <v>17.5</v>
      </c>
      <c r="D11" s="19" t="n">
        <f aca="false">G10*Assumptions!$B$20</f>
        <v>25.9</v>
      </c>
      <c r="E11" s="19" t="n">
        <f aca="false">C11+D11</f>
        <v>43.4</v>
      </c>
      <c r="F11" s="19" t="n">
        <f aca="false">B11+D11</f>
        <v>125.9</v>
      </c>
      <c r="G11" s="19" t="n">
        <f aca="false">G10+B11-C11</f>
        <v>730</v>
      </c>
    </row>
    <row r="12" customFormat="false" ht="15" hidden="false" customHeight="false" outlineLevel="0" collapsed="false">
      <c r="A12" s="5" t="n">
        <v>9</v>
      </c>
      <c r="B12" s="24" t="n">
        <f aca="false">B11</f>
        <v>100</v>
      </c>
      <c r="C12" s="19" t="n">
        <f aca="false">SUM($B$4:B11)/Assumptions!$B$19</f>
        <v>20</v>
      </c>
      <c r="D12" s="19" t="n">
        <f aca="false">G11*Assumptions!$B$20</f>
        <v>29.2</v>
      </c>
      <c r="E12" s="19" t="n">
        <f aca="false">C12+D12</f>
        <v>49.2</v>
      </c>
      <c r="F12" s="19" t="n">
        <f aca="false">B12+D12</f>
        <v>129.2</v>
      </c>
      <c r="G12" s="19" t="n">
        <f aca="false">G11+B12-C12</f>
        <v>810</v>
      </c>
    </row>
    <row r="13" customFormat="false" ht="15" hidden="false" customHeight="false" outlineLevel="0" collapsed="false">
      <c r="A13" s="5" t="n">
        <v>10</v>
      </c>
      <c r="B13" s="24" t="n">
        <f aca="false">B12</f>
        <v>100</v>
      </c>
      <c r="C13" s="19" t="n">
        <f aca="false">SUM($B$4:B12)/Assumptions!$B$19</f>
        <v>22.5</v>
      </c>
      <c r="D13" s="19" t="n">
        <f aca="false">G12*Assumptions!$B$20</f>
        <v>32.4</v>
      </c>
      <c r="E13" s="19" t="n">
        <f aca="false">C13+D13</f>
        <v>54.9</v>
      </c>
      <c r="F13" s="19" t="n">
        <f aca="false">B13+D13</f>
        <v>132.4</v>
      </c>
      <c r="G13" s="19" t="n">
        <f aca="false">G12+B13-C13</f>
        <v>887.5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7" min="2" style="0" width="13"/>
  </cols>
  <sheetData>
    <row r="1" customFormat="false" ht="17.35" hidden="false" customHeight="false" outlineLevel="0" collapsed="false">
      <c r="A1" s="4" t="s">
        <v>176</v>
      </c>
      <c r="B1" s="5"/>
      <c r="C1" s="5"/>
      <c r="D1" s="5"/>
      <c r="E1" s="5"/>
      <c r="F1" s="5"/>
      <c r="G1" s="5"/>
    </row>
    <row r="2" customFormat="false" ht="15" hidden="false" customHeight="false" outlineLevel="0" collapsed="false">
      <c r="A2" s="5"/>
      <c r="B2" s="5"/>
      <c r="C2" s="5"/>
      <c r="D2" s="5"/>
      <c r="E2" s="5"/>
      <c r="F2" s="5"/>
      <c r="G2" s="5"/>
    </row>
    <row r="3" customFormat="false" ht="15" hidden="false" customHeight="false" outlineLevel="0" collapsed="false">
      <c r="A3" s="6" t="s">
        <v>135</v>
      </c>
      <c r="B3" s="6" t="s">
        <v>177</v>
      </c>
      <c r="C3" s="6" t="s">
        <v>178</v>
      </c>
      <c r="D3" s="6" t="s">
        <v>179</v>
      </c>
      <c r="E3" s="6" t="s">
        <v>180</v>
      </c>
      <c r="F3" s="6" t="s">
        <v>181</v>
      </c>
      <c r="G3" s="6" t="s">
        <v>182</v>
      </c>
    </row>
    <row r="4" customFormat="false" ht="15" hidden="false" customHeight="false" outlineLevel="0" collapsed="false">
      <c r="A4" s="5" t="s">
        <v>183</v>
      </c>
      <c r="B4" s="10" t="n">
        <v>55000</v>
      </c>
      <c r="C4" s="10" t="n">
        <v>90000</v>
      </c>
      <c r="D4" s="10" t="n">
        <v>150000</v>
      </c>
      <c r="E4" s="10" t="n">
        <v>250000</v>
      </c>
      <c r="F4" s="10" t="n">
        <v>400000</v>
      </c>
      <c r="G4" s="28" t="n">
        <v>120000</v>
      </c>
    </row>
    <row r="5" customFormat="false" ht="15" hidden="false" customHeight="false" outlineLevel="0" collapsed="false">
      <c r="A5" s="5" t="s">
        <v>184</v>
      </c>
      <c r="B5" s="27" t="n">
        <f aca="false">Assumptions!$B$15-Assumptions!$B$16</f>
        <v>20143</v>
      </c>
      <c r="C5" s="27" t="n">
        <f aca="false">Assumptions!$B$15-Assumptions!$B$16</f>
        <v>20143</v>
      </c>
      <c r="D5" s="27" t="n">
        <f aca="false">Assumptions!$B$15-Assumptions!$B$16</f>
        <v>20143</v>
      </c>
      <c r="E5" s="27" t="n">
        <f aca="false">Assumptions!$B$15-Assumptions!$B$16</f>
        <v>20143</v>
      </c>
      <c r="F5" s="27" t="n">
        <f aca="false">Assumptions!$B$15-Assumptions!$B$16</f>
        <v>20143</v>
      </c>
      <c r="G5" s="27" t="n">
        <f aca="false">Assumptions!$B$15-Assumptions!$B$16</f>
        <v>20143</v>
      </c>
    </row>
    <row r="6" customFormat="false" ht="15" hidden="false" customHeight="false" outlineLevel="0" collapsed="false">
      <c r="A6" s="5" t="s">
        <v>185</v>
      </c>
      <c r="B6" s="27" t="n">
        <f aca="false">Assumptions!$B$16</f>
        <v>6850</v>
      </c>
      <c r="C6" s="27" t="n">
        <f aca="false">Assumptions!$B$16</f>
        <v>6850</v>
      </c>
      <c r="D6" s="27" t="n">
        <f aca="false">Assumptions!$B$16</f>
        <v>6850</v>
      </c>
      <c r="E6" s="27" t="n">
        <f aca="false">Assumptions!$B$16</f>
        <v>6850</v>
      </c>
      <c r="F6" s="27" t="n">
        <f aca="false">Assumptions!$B$16</f>
        <v>6850</v>
      </c>
      <c r="G6" s="27" t="n">
        <f aca="false">Assumptions!$B$16</f>
        <v>6850</v>
      </c>
    </row>
    <row r="7" customFormat="false" ht="15" hidden="false" customHeight="false" outlineLevel="0" collapsed="false">
      <c r="A7" s="5" t="s">
        <v>186</v>
      </c>
      <c r="B7" s="27" t="n">
        <f aca="false">Assumptions!$B$17</f>
        <v>3000</v>
      </c>
      <c r="C7" s="27" t="n">
        <f aca="false">Assumptions!$B$17</f>
        <v>3000</v>
      </c>
      <c r="D7" s="27" t="n">
        <f aca="false">Assumptions!$B$17</f>
        <v>3000</v>
      </c>
      <c r="E7" s="27" t="n">
        <f aca="false">Assumptions!$B$17</f>
        <v>3000</v>
      </c>
      <c r="F7" s="27" t="n">
        <f aca="false">Assumptions!$B$17</f>
        <v>3000</v>
      </c>
      <c r="G7" s="27" t="n">
        <f aca="false">Assumptions!$B$17</f>
        <v>3000</v>
      </c>
    </row>
    <row r="8" customFormat="false" ht="15" hidden="false" customHeight="false" outlineLevel="0" collapsed="false">
      <c r="A8" s="5" t="s">
        <v>187</v>
      </c>
      <c r="B8" s="27" t="n">
        <f aca="false">SUM(B5:B7)</f>
        <v>29993</v>
      </c>
      <c r="C8" s="27" t="n">
        <f aca="false">SUM(C5:C7)</f>
        <v>29993</v>
      </c>
      <c r="D8" s="27" t="n">
        <f aca="false">SUM(D5:D7)</f>
        <v>29993</v>
      </c>
      <c r="E8" s="27" t="n">
        <f aca="false">SUM(E5:E7)</f>
        <v>29993</v>
      </c>
      <c r="F8" s="27" t="n">
        <f aca="false">SUM(F5:F7)</f>
        <v>29993</v>
      </c>
      <c r="G8" s="27" t="n">
        <f aca="false">SUM(G5:G7)</f>
        <v>29993</v>
      </c>
    </row>
    <row r="9" customFormat="false" ht="15" hidden="false" customHeight="false" outlineLevel="0" collapsed="false">
      <c r="A9" s="5" t="s">
        <v>188</v>
      </c>
      <c r="B9" s="27" t="n">
        <f aca="false">ROUND(B4*Assumptions!$B$14,0)</f>
        <v>2482</v>
      </c>
      <c r="C9" s="27" t="n">
        <f aca="false">ROUND(C4*Assumptions!$B$14,0)</f>
        <v>4061</v>
      </c>
      <c r="D9" s="27" t="n">
        <f aca="false">ROUND(D4*Assumptions!$B$14,0)</f>
        <v>6768</v>
      </c>
      <c r="E9" s="27" t="n">
        <f aca="false">ROUND(E4*Assumptions!$B$14,0)</f>
        <v>11280</v>
      </c>
      <c r="F9" s="27" t="n">
        <f aca="false">ROUND(F4*Assumptions!$B$14,0)</f>
        <v>18048</v>
      </c>
      <c r="G9" s="27" t="n">
        <f aca="false">ROUND(G4*Assumptions!$B$14,0)</f>
        <v>5414</v>
      </c>
    </row>
    <row r="10" customFormat="false" ht="15" hidden="false" customHeight="false" outlineLevel="0" collapsed="false">
      <c r="A10" s="5" t="s">
        <v>189</v>
      </c>
      <c r="B10" s="27" t="n">
        <f aca="false">MAX(0,B4-2*Assumptions!$B$18)*Assumptions!$B$13</f>
        <v>0</v>
      </c>
      <c r="C10" s="27" t="n">
        <f aca="false">MAX(0,C4-2*Assumptions!$B$18)*Assumptions!$B$13</f>
        <v>2570</v>
      </c>
      <c r="D10" s="27" t="n">
        <f aca="false">MAX(0,D4-2*Assumptions!$B$18)*Assumptions!$B$13</f>
        <v>8570</v>
      </c>
      <c r="E10" s="27" t="n">
        <f aca="false">MAX(0,E4-2*Assumptions!$B$18)*Assumptions!$B$13</f>
        <v>18570</v>
      </c>
      <c r="F10" s="27" t="n">
        <f aca="false">MAX(0,F4-2*Assumptions!$B$18)*Assumptions!$B$13</f>
        <v>33570</v>
      </c>
      <c r="G10" s="27" t="n">
        <f aca="false">MAX(0,G4-2*Assumptions!$B$18)*Assumptions!$B$13</f>
        <v>5570</v>
      </c>
    </row>
    <row r="11" customFormat="false" ht="15" hidden="false" customHeight="false" outlineLevel="0" collapsed="false">
      <c r="A11" s="5" t="s">
        <v>190</v>
      </c>
      <c r="B11" s="27" t="n">
        <f aca="false">B9+B10</f>
        <v>2482</v>
      </c>
      <c r="C11" s="27" t="n">
        <f aca="false">C9+C10</f>
        <v>6631</v>
      </c>
      <c r="D11" s="27" t="n">
        <f aca="false">D9+D10</f>
        <v>15338</v>
      </c>
      <c r="E11" s="27" t="n">
        <f aca="false">E9+E10</f>
        <v>29850</v>
      </c>
      <c r="F11" s="27" t="n">
        <f aca="false">F9+F10</f>
        <v>51618</v>
      </c>
      <c r="G11" s="27" t="n">
        <f aca="false">G9+G10</f>
        <v>10984</v>
      </c>
    </row>
    <row r="12" customFormat="false" ht="15" hidden="false" customHeight="false" outlineLevel="0" collapsed="false">
      <c r="A12" s="5" t="s">
        <v>191</v>
      </c>
      <c r="B12" s="27" t="n">
        <f aca="false">B11-B8</f>
        <v>-27511</v>
      </c>
      <c r="C12" s="27" t="n">
        <f aca="false">C11-C8</f>
        <v>-23362</v>
      </c>
      <c r="D12" s="27" t="n">
        <f aca="false">D11-D8</f>
        <v>-14655</v>
      </c>
      <c r="E12" s="27" t="n">
        <f aca="false">E11-E8</f>
        <v>-143</v>
      </c>
      <c r="F12" s="27" t="n">
        <f aca="false">F11-F8</f>
        <v>21625</v>
      </c>
      <c r="G12" s="27" t="n">
        <f aca="false">G11-G8</f>
        <v>-19009</v>
      </c>
    </row>
    <row r="13" customFormat="false" ht="15" hidden="false" customHeight="false" outlineLevel="0" collapsed="false">
      <c r="A13" s="5" t="s">
        <v>192</v>
      </c>
      <c r="B13" s="26" t="n">
        <f aca="false">IF(B4=0,0,B12/B4)</f>
        <v>-0.5002</v>
      </c>
      <c r="C13" s="26" t="n">
        <f aca="false">IF(C4=0,0,C12/C4)</f>
        <v>-0.259577777777778</v>
      </c>
      <c r="D13" s="26" t="n">
        <f aca="false">IF(D4=0,0,D12/D4)</f>
        <v>-0.0977</v>
      </c>
      <c r="E13" s="26" t="n">
        <f aca="false">IF(E4=0,0,E12/E4)</f>
        <v>-0.000572</v>
      </c>
      <c r="F13" s="26" t="n">
        <f aca="false">IF(F4=0,0,F12/F4)</f>
        <v>0.0540625</v>
      </c>
      <c r="G13" s="26" t="n">
        <f aca="false">IF(G4=0,0,G12/G4)</f>
        <v>-0.158408333333333</v>
      </c>
    </row>
    <row r="14" customFormat="false" ht="15" hidden="false" customHeight="false" outlineLevel="0" collapsed="false">
      <c r="A14" s="5"/>
      <c r="B14" s="5"/>
      <c r="C14" s="5"/>
      <c r="D14" s="5"/>
      <c r="E14" s="5"/>
      <c r="F14" s="5"/>
      <c r="G14" s="5"/>
    </row>
    <row r="15" customFormat="false" ht="15" hidden="false" customHeight="false" outlineLevel="0" collapsed="false">
      <c r="A15" s="9" t="s">
        <v>193</v>
      </c>
      <c r="B15" s="5"/>
      <c r="C15" s="5"/>
      <c r="D15" s="5"/>
      <c r="E15" s="5"/>
      <c r="F15" s="5"/>
      <c r="G15" s="5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3" min="2" style="0" width="16"/>
    <col collapsed="false" customWidth="true" hidden="false" outlineLevel="0" max="4" min="4" style="0" width="18"/>
    <col collapsed="false" customWidth="true" hidden="false" outlineLevel="0" max="6" min="5" style="0" width="16"/>
  </cols>
  <sheetData>
    <row r="1" customFormat="false" ht="17.35" hidden="false" customHeight="false" outlineLevel="0" collapsed="false">
      <c r="A1" s="4" t="s">
        <v>194</v>
      </c>
      <c r="B1" s="5"/>
      <c r="C1" s="5"/>
      <c r="D1" s="5"/>
      <c r="E1" s="5"/>
      <c r="F1" s="5"/>
    </row>
    <row r="2" customFormat="false" ht="15" hidden="false" customHeight="false" outlineLevel="0" collapsed="false">
      <c r="A2" s="5"/>
      <c r="B2" s="5"/>
      <c r="C2" s="5"/>
      <c r="D2" s="5"/>
      <c r="E2" s="5"/>
      <c r="F2" s="5"/>
    </row>
    <row r="3" customFormat="false" ht="26.85" hidden="false" customHeight="false" outlineLevel="0" collapsed="false">
      <c r="A3" s="6" t="s">
        <v>169</v>
      </c>
      <c r="B3" s="6" t="s">
        <v>195</v>
      </c>
      <c r="C3" s="6" t="s">
        <v>196</v>
      </c>
      <c r="D3" s="6" t="s">
        <v>197</v>
      </c>
      <c r="E3" s="6" t="s">
        <v>198</v>
      </c>
      <c r="F3" s="6" t="s">
        <v>199</v>
      </c>
    </row>
    <row r="4" customFormat="false" ht="15" hidden="false" customHeight="false" outlineLevel="0" collapsed="false">
      <c r="A4" s="5" t="s">
        <v>200</v>
      </c>
      <c r="B4" s="29" t="n">
        <f aca="false">101+1.9*0</f>
        <v>101</v>
      </c>
      <c r="C4" s="30" t="n">
        <v>0</v>
      </c>
      <c r="D4" s="29" t="n">
        <v>0</v>
      </c>
      <c r="E4" s="29" t="n">
        <f aca="false">B4-D4</f>
        <v>101</v>
      </c>
      <c r="F4" s="30" t="n">
        <f aca="false">D4*Assumptions!$B$21</f>
        <v>0</v>
      </c>
    </row>
    <row r="5" customFormat="false" ht="15" hidden="false" customHeight="false" outlineLevel="0" collapsed="false">
      <c r="A5" s="5" t="s">
        <v>201</v>
      </c>
      <c r="B5" s="29" t="n">
        <f aca="false">101+1.9*1</f>
        <v>102.9</v>
      </c>
      <c r="C5" s="30" t="n">
        <f aca="false">MIN(Assumptions!$B$23*100,Assumptions!$B$23*100*1/Assumptions!$B$24)</f>
        <v>0.45</v>
      </c>
      <c r="D5" s="29" t="n">
        <f aca="false">D4*(1+Assumptions!$B$21)/(1+Assumptions!$B$22)+C5-(Assumptions!$B$25*Assumptions!$B$26/Assumptions!$B$5*100)</f>
        <v>0.45</v>
      </c>
      <c r="E5" s="29" t="n">
        <f aca="false">B5-D5</f>
        <v>102.45</v>
      </c>
      <c r="F5" s="30" t="n">
        <f aca="false">D5*Assumptions!$B$21</f>
        <v>0.0162</v>
      </c>
    </row>
    <row r="6" customFormat="false" ht="15" hidden="false" customHeight="false" outlineLevel="0" collapsed="false">
      <c r="A6" s="5" t="s">
        <v>202</v>
      </c>
      <c r="B6" s="29" t="n">
        <f aca="false">101+1.9*2</f>
        <v>104.8</v>
      </c>
      <c r="C6" s="30" t="n">
        <f aca="false">MIN(Assumptions!$B$23*100,Assumptions!$B$23*100*2/Assumptions!$B$24)</f>
        <v>0.9</v>
      </c>
      <c r="D6" s="29" t="n">
        <f aca="false">D5*(1+Assumptions!$B$21)/(1+Assumptions!$B$22)+C6-(Assumptions!$B$25*Assumptions!$B$26/Assumptions!$B$5*100)</f>
        <v>1.34826923076923</v>
      </c>
      <c r="E6" s="29" t="n">
        <f aca="false">B6-D6</f>
        <v>103.451730769231</v>
      </c>
      <c r="F6" s="30" t="n">
        <f aca="false">D6*Assumptions!$B$21</f>
        <v>0.0485376923076923</v>
      </c>
    </row>
    <row r="7" customFormat="false" ht="15" hidden="false" customHeight="false" outlineLevel="0" collapsed="false">
      <c r="A7" s="5" t="s">
        <v>203</v>
      </c>
      <c r="B7" s="29" t="n">
        <f aca="false">101+1.9*3</f>
        <v>106.7</v>
      </c>
      <c r="C7" s="30" t="n">
        <f aca="false">MIN(Assumptions!$B$23*100,Assumptions!$B$23*100*3/Assumptions!$B$24)</f>
        <v>1.35</v>
      </c>
      <c r="D7" s="29" t="n">
        <f aca="false">D6*(1+Assumptions!$B$21)/(1+Assumptions!$B$22)+C7-(Assumptions!$B$25*Assumptions!$B$26/Assumptions!$B$5*100)</f>
        <v>2.69308357988166</v>
      </c>
      <c r="E7" s="29" t="n">
        <f aca="false">B7-D7</f>
        <v>104.006916420118</v>
      </c>
      <c r="F7" s="30" t="n">
        <f aca="false">D7*Assumptions!$B$21</f>
        <v>0.0969510088757397</v>
      </c>
    </row>
    <row r="8" customFormat="false" ht="15" hidden="false" customHeight="false" outlineLevel="0" collapsed="false">
      <c r="A8" s="5" t="s">
        <v>204</v>
      </c>
      <c r="B8" s="29" t="n">
        <f aca="false">101+1.9*4</f>
        <v>108.6</v>
      </c>
      <c r="C8" s="30" t="n">
        <f aca="false">MIN(Assumptions!$B$23*100,Assumptions!$B$23*100*4/Assumptions!$B$24)</f>
        <v>1.8</v>
      </c>
      <c r="D8" s="29" t="n">
        <f aca="false">D7*(1+Assumptions!$B$21)/(1+Assumptions!$B$22)+C8-(Assumptions!$B$25*Assumptions!$B$26/Assumptions!$B$5*100)</f>
        <v>4.48272556611288</v>
      </c>
      <c r="E8" s="29" t="n">
        <f aca="false">B8-D8</f>
        <v>104.117274433887</v>
      </c>
      <c r="F8" s="30" t="n">
        <f aca="false">D8*Assumptions!$B$21</f>
        <v>0.161378120380064</v>
      </c>
    </row>
    <row r="9" customFormat="false" ht="15" hidden="false" customHeight="false" outlineLevel="0" collapsed="false">
      <c r="A9" s="5" t="s">
        <v>205</v>
      </c>
      <c r="B9" s="29" t="n">
        <f aca="false">101+1.9*5</f>
        <v>110.5</v>
      </c>
      <c r="C9" s="30" t="n">
        <f aca="false">MIN(Assumptions!$B$23*100,Assumptions!$B$23*100*5/Assumptions!$B$24)</f>
        <v>2.25</v>
      </c>
      <c r="D9" s="29" t="n">
        <f aca="false">D8*(1+Assumptions!$B$21)/(1+Assumptions!$B$22)+C9-(Assumptions!$B$25*Assumptions!$B$26/Assumptions!$B$5*100)</f>
        <v>6.71548431393553</v>
      </c>
      <c r="E9" s="29" t="n">
        <f aca="false">B9-D9</f>
        <v>103.784515686064</v>
      </c>
      <c r="F9" s="30" t="n">
        <f aca="false">D9*Assumptions!$B$21</f>
        <v>0.241757435301679</v>
      </c>
    </row>
    <row r="10" customFormat="false" ht="15" hidden="false" customHeight="false" outlineLevel="0" collapsed="false">
      <c r="A10" s="5" t="s">
        <v>206</v>
      </c>
      <c r="B10" s="29" t="n">
        <f aca="false">101+1.9*6</f>
        <v>112.4</v>
      </c>
      <c r="C10" s="30" t="n">
        <f aca="false">MIN(Assumptions!$B$23*100,Assumptions!$B$23*100*6/Assumptions!$B$24)</f>
        <v>2.25</v>
      </c>
      <c r="D10" s="29" t="n">
        <f aca="false">D9*(1+Assumptions!$B$21)/(1+Assumptions!$B$22)+C10-(Assumptions!$B$25*Assumptions!$B$26/Assumptions!$B$5*100)</f>
        <v>8.9396555281127</v>
      </c>
      <c r="E10" s="29" t="n">
        <f aca="false">B10-D10</f>
        <v>103.460344471887</v>
      </c>
      <c r="F10" s="30" t="n">
        <f aca="false">D10*Assumptions!$B$21</f>
        <v>0.321827599012057</v>
      </c>
    </row>
    <row r="11" customFormat="false" ht="15" hidden="false" customHeight="false" outlineLevel="0" collapsed="false">
      <c r="A11" s="5" t="s">
        <v>207</v>
      </c>
      <c r="B11" s="29" t="n">
        <f aca="false">101+1.9*7</f>
        <v>114.3</v>
      </c>
      <c r="C11" s="30" t="n">
        <f aca="false">MIN(Assumptions!$B$23*100,Assumptions!$B$23*100*7/Assumptions!$B$24)</f>
        <v>2.25</v>
      </c>
      <c r="D11" s="29" t="n">
        <f aca="false">D10*(1+Assumptions!$B$21)/(1+Assumptions!$B$22)+C11-(Assumptions!$B$25*Assumptions!$B$26/Assumptions!$B$5*100)</f>
        <v>11.15527223762</v>
      </c>
      <c r="E11" s="29" t="n">
        <f aca="false">B11-D11</f>
        <v>103.14472776238</v>
      </c>
      <c r="F11" s="30" t="n">
        <f aca="false">D11*Assumptions!$B$21</f>
        <v>0.401589800554318</v>
      </c>
    </row>
    <row r="12" customFormat="false" ht="15" hidden="false" customHeight="false" outlineLevel="0" collapsed="false">
      <c r="A12" s="5" t="s">
        <v>208</v>
      </c>
      <c r="B12" s="29" t="n">
        <f aca="false">101+1.9*8</f>
        <v>116.2</v>
      </c>
      <c r="C12" s="30" t="n">
        <f aca="false">MIN(Assumptions!$B$23*100,Assumptions!$B$23*100*8/Assumptions!$B$24)</f>
        <v>2.25</v>
      </c>
      <c r="D12" s="29" t="n">
        <f aca="false">D11*(1+Assumptions!$B$21)/(1+Assumptions!$B$22)+C12-(Assumptions!$B$25*Assumptions!$B$26/Assumptions!$B$5*100)</f>
        <v>13.3623673443983</v>
      </c>
      <c r="E12" s="29" t="n">
        <f aca="false">B12-D12</f>
        <v>102.837632655602</v>
      </c>
      <c r="F12" s="30" t="n">
        <f aca="false">D12*Assumptions!$B$21</f>
        <v>0.48104522439834</v>
      </c>
    </row>
    <row r="13" customFormat="false" ht="15" hidden="false" customHeight="false" outlineLevel="0" collapsed="false">
      <c r="A13" s="5" t="s">
        <v>209</v>
      </c>
      <c r="B13" s="29" t="n">
        <f aca="false">101+1.9*9</f>
        <v>118.1</v>
      </c>
      <c r="C13" s="30" t="n">
        <f aca="false">MIN(Assumptions!$B$23*100,Assumptions!$B$23*100*9/Assumptions!$B$24)</f>
        <v>2.25</v>
      </c>
      <c r="D13" s="29" t="n">
        <f aca="false">D12*(1+Assumptions!$B$21)/(1+Assumptions!$B$22)+C13-(Assumptions!$B$25*Assumptions!$B$26/Assumptions!$B$5*100)</f>
        <v>15.560973623843</v>
      </c>
      <c r="E13" s="29" t="n">
        <f aca="false">B13-D13</f>
        <v>102.539026376157</v>
      </c>
      <c r="F13" s="30" t="n">
        <f aca="false">D13*Assumptions!$B$21</f>
        <v>0.560195050458347</v>
      </c>
    </row>
    <row r="14" customFormat="false" ht="15" hidden="false" customHeight="false" outlineLevel="0" collapsed="false">
      <c r="A14" s="5" t="s">
        <v>210</v>
      </c>
      <c r="B14" s="29" t="n">
        <f aca="false">101+1.9*10</f>
        <v>120</v>
      </c>
      <c r="C14" s="30" t="n">
        <f aca="false">MIN(Assumptions!$B$23*100,Assumptions!$B$23*100*10/Assumptions!$B$24)</f>
        <v>2.25</v>
      </c>
      <c r="D14" s="29" t="n">
        <f aca="false">D13*(1+Assumptions!$B$21)/(1+Assumptions!$B$22)+C14-(Assumptions!$B$25*Assumptions!$B$26/Assumptions!$B$5*100)</f>
        <v>17.7511237252897</v>
      </c>
      <c r="E14" s="29" t="n">
        <f aca="false">B14-D14</f>
        <v>102.24887627471</v>
      </c>
      <c r="F14" s="30" t="n">
        <f aca="false">D14*Assumptions!$B$21</f>
        <v>0.63904045411043</v>
      </c>
    </row>
    <row r="15" customFormat="false" ht="15" hidden="false" customHeight="false" outlineLevel="0" collapsed="false">
      <c r="A15" s="5"/>
      <c r="B15" s="5"/>
      <c r="C15" s="5"/>
      <c r="D15" s="5"/>
      <c r="E15" s="5"/>
      <c r="F15" s="5"/>
    </row>
    <row r="16" customFormat="false" ht="15" hidden="false" customHeight="false" outlineLevel="0" collapsed="false">
      <c r="A16" s="9" t="s">
        <v>211</v>
      </c>
      <c r="B16" s="5"/>
      <c r="C16" s="5"/>
      <c r="D16" s="5"/>
      <c r="E16" s="5"/>
      <c r="F16" s="5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16"/>
  </cols>
  <sheetData>
    <row r="1" customFormat="false" ht="17.35" hidden="false" customHeight="false" outlineLevel="0" collapsed="false">
      <c r="A1" s="4" t="s">
        <v>212</v>
      </c>
      <c r="B1" s="5"/>
    </row>
    <row r="2" customFormat="false" ht="15" hidden="false" customHeight="false" outlineLevel="0" collapsed="false">
      <c r="A2" s="5"/>
      <c r="B2" s="5"/>
    </row>
    <row r="3" customFormat="false" ht="15" hidden="false" customHeight="false" outlineLevel="0" collapsed="false">
      <c r="A3" s="6" t="s">
        <v>135</v>
      </c>
      <c r="B3" s="6" t="s">
        <v>19</v>
      </c>
    </row>
    <row r="4" customFormat="false" ht="15" hidden="false" customHeight="false" outlineLevel="0" collapsed="false">
      <c r="A4" s="5" t="s">
        <v>64</v>
      </c>
      <c r="B4" s="31" t="n">
        <f aca="false">Assumptions!$B$30</f>
        <v>0.1</v>
      </c>
    </row>
    <row r="5" customFormat="false" ht="15" hidden="false" customHeight="false" outlineLevel="0" collapsed="false">
      <c r="A5" s="5" t="s">
        <v>213</v>
      </c>
      <c r="B5" s="25" t="n">
        <f aca="false">Assumptions!$B$30*100*Assumptions!$B$27</f>
        <v>0.022</v>
      </c>
    </row>
    <row r="6" customFormat="false" ht="15" hidden="false" customHeight="false" outlineLevel="0" collapsed="false">
      <c r="A6" s="5" t="s">
        <v>214</v>
      </c>
      <c r="B6" s="24" t="n">
        <f aca="false">Assumptions!$B$30*Assumptions!$B$28*Assumptions!$B$29/1000</f>
        <v>238</v>
      </c>
    </row>
    <row r="7" customFormat="false" ht="15" hidden="false" customHeight="false" outlineLevel="0" collapsed="false">
      <c r="A7" s="5" t="s">
        <v>215</v>
      </c>
      <c r="B7" s="25" t="n">
        <f aca="false">B6/Assumptions!$B$5</f>
        <v>0.00732307692307692</v>
      </c>
    </row>
    <row r="8" customFormat="false" ht="15" hidden="false" customHeight="false" outlineLevel="0" collapsed="false">
      <c r="A8" s="5" t="s">
        <v>216</v>
      </c>
      <c r="B8" s="25" t="n">
        <f aca="false">B5-B7</f>
        <v>0.0146769230769231</v>
      </c>
    </row>
    <row r="9" customFormat="false" ht="15" hidden="false" customHeight="false" outlineLevel="0" collapsed="false">
      <c r="A9" s="5" t="s">
        <v>217</v>
      </c>
      <c r="B9" s="32" t="n">
        <f aca="false">B8*Assumptions!$B$5</f>
        <v>477</v>
      </c>
    </row>
    <row r="10" customFormat="false" ht="15" hidden="false" customHeight="false" outlineLevel="0" collapsed="false">
      <c r="A10" s="5" t="s">
        <v>218</v>
      </c>
      <c r="B10" s="33" t="n">
        <f aca="false">0.02/(100*Assumptions!$B$27-Assumptions!$B$28*Assumptions!$B$29/1000/Assumptions!$B$5)</f>
        <v>0.136268343815514</v>
      </c>
    </row>
    <row r="11" customFormat="false" ht="15" hidden="false" customHeight="false" outlineLevel="0" collapsed="false">
      <c r="A11" s="5" t="s">
        <v>219</v>
      </c>
      <c r="B11" s="33" t="n">
        <f aca="false">0.0225/(100*Assumptions!$B$27-Assumptions!$B$28*Assumptions!$B$29/1000/Assumptions!$B$5)</f>
        <v>0.153301886792453</v>
      </c>
    </row>
    <row r="12" customFormat="false" ht="15" hidden="false" customHeight="false" outlineLevel="0" collapsed="false">
      <c r="A12" s="5" t="s">
        <v>220</v>
      </c>
      <c r="B12" s="33" t="n">
        <f aca="false">0.0225/(100*Assumptions!$B$27)</f>
        <v>0.102272727272727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2026-09-22T22:56:01Z</dcterms:created>
  <dc:creator>openpyxl</dc:creator>
  <dc:description/>
  <dc:language>en-US</dc:language>
  <cp:lastModifiedBy/>
  <dcterms:modified xsi:type="dcterms:W3CDTF">2026-09-22T22:56:01Z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